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https://asplanviak-my.sharepoint.com/personal/oddbjorn_dahlstrom_asplanviak_no/Documents/Desktop/breeam manual/v 5/New folder/"/>
    </mc:Choice>
  </mc:AlternateContent>
  <xr:revisionPtr revIDLastSave="1164" documentId="13_ncr:1_{B8688DBB-858A-43ED-9089-7CD2214D54D7}" xr6:coauthVersionLast="47" xr6:coauthVersionMax="47" xr10:uidLastSave="{10157652-C1EC-4361-9BF3-ACDDE45A8B4F}"/>
  <workbookProtection workbookAlgorithmName="SHA-512" workbookHashValue="y/hMJvyj79fz2nD6wM8adCxx8YcitjZUiRDjEUyPxEbuxsji/bMIRxptBX6ZB7s+iXOikLgDiGxs6lAP3ogLnw==" workbookSaltValue="/x7wNdLLQ4K/aQav5xsI9w==" workbookSpinCount="100000" lockStructure="1"/>
  <bookViews>
    <workbookView xWindow="-51720" yWindow="5385" windowWidth="51840" windowHeight="21240" tabRatio="778" xr2:uid="{00000000-000D-0000-FFFF-FFFF00000000}"/>
  </bookViews>
  <sheets>
    <sheet name="Instructions" sheetId="12" r:id="rId1"/>
    <sheet name="Assessment Details" sheetId="3" r:id="rId2"/>
    <sheet name="Pre-Assessment Estimator" sheetId="5" r:id="rId3"/>
    <sheet name="Credit list" sheetId="22" state="hidden" r:id="rId4"/>
    <sheet name="Manuell filtrering og justering" sheetId="16" state="hidden" r:id="rId5"/>
    <sheet name="Poeng" sheetId="13" state="hidden" r:id="rId6"/>
    <sheet name="Summary of Building Performance" sheetId="11" r:id="rId7"/>
    <sheet name="PAE available for copy" sheetId="21" r:id="rId8"/>
    <sheet name="Version Control" sheetId="8" r:id="rId9"/>
    <sheet name="Sheet1" sheetId="17" r:id="rId10"/>
    <sheet name="Sheet2" sheetId="18" r:id="rId11"/>
    <sheet name="Sheet3" sheetId="19" r:id="rId12"/>
    <sheet name="Logg" sheetId="23" state="hidden" r:id="rId13"/>
  </sheets>
  <definedNames>
    <definedName name="_xlnm._FilterDatabase" localSheetId="7" hidden="1">'PAE available for copy'!$A$9:$AF$228</definedName>
    <definedName name="_xlnm._FilterDatabase" localSheetId="5" hidden="1">Poeng!$A$8:$CL$279</definedName>
    <definedName name="_xlnm._FilterDatabase" localSheetId="2" hidden="1">'Pre-Assessment Estimator'!$A$9:$AF$229</definedName>
    <definedName name="_PSc1">'Assessment Details'!$P$70</definedName>
    <definedName name="_PSc2">'Assessment Details'!#REF!</definedName>
    <definedName name="Achieved_const">'Summary of Building Performance'!$H$46</definedName>
    <definedName name="Achieved_design">'Summary of Building Performance'!$F$46</definedName>
    <definedName name="Achieved_initial">'Summary of Building Performance'!$D$46</definedName>
    <definedName name="AD_Add01">'Assessment Details'!$C$14</definedName>
    <definedName name="AD_Add02">'Assessment Details'!$C$15</definedName>
    <definedName name="AD_Add04">'Assessment Details'!$C$17</definedName>
    <definedName name="AD_Architect">'Assessment Details'!$C$25</definedName>
    <definedName name="AD_assessor">'Assessment Details'!$C$8</definedName>
    <definedName name="AD_Assessor_org">'Assessment Details'!$C$9</definedName>
    <definedName name="AD_Banner">'Assessment Details'!$B$2</definedName>
    <definedName name="AD_BREEAM_stage">'Assessment Details'!$Q$5</definedName>
    <definedName name="AD_BREEAM_version">'Assessment Details'!$Q$8</definedName>
    <definedName name="AD_BREEAMAP">'Assessment Details'!$C$28</definedName>
    <definedName name="AD_Buildserve">'Assessment Details'!$C$27</definedName>
    <definedName name="AD_Builduser">'Assessment Details'!$C$7</definedName>
    <definedName name="AD_catlevel">'Assessment Details'!#REF!</definedName>
    <definedName name="AD_catlevel01">'Assessment Details'!$Q$31</definedName>
    <definedName name="AD_catlevel02">'Assessment Details'!$Q$32</definedName>
    <definedName name="AD_catlevel03">'Assessment Details'!$Q$33</definedName>
    <definedName name="AD_client">'Assessment Details'!$C$6</definedName>
    <definedName name="AD_Contractor">'Assessment Details'!$C$24</definedName>
    <definedName name="AD_Developer">'Assessment Details'!$C$23</definedName>
    <definedName name="AD_Energyload">'Assessment Details'!$F$22</definedName>
    <definedName name="AD_GIA">'Assessment Details'!$F$11</definedName>
    <definedName name="AD_heat">'Assessment Details'!$F$15</definedName>
    <definedName name="AD_labcat_list">'Assessment Details'!$Q$31:$Q$34</definedName>
    <definedName name="AD_Labsize">'Assessment Details'!$F$21</definedName>
    <definedName name="AD_Labsize_list">'Assessment Details'!$Q$26:$Q$29</definedName>
    <definedName name="AD_Labsize01">'Assessment Details'!$Q$27</definedName>
    <definedName name="AD_Labsize02">'Assessment Details'!$Q$28</definedName>
    <definedName name="AD_Labsize03">'Assessment Details'!$Q$29</definedName>
    <definedName name="AD_labsize04">'Assessment Details'!$Q$26</definedName>
    <definedName name="AD_MultiRes_option01a">'Assessment Details'!$P$92</definedName>
    <definedName name="AD_MultiRes_option01b">'Assessment Details'!$P$93</definedName>
    <definedName name="AD_Multitenant">'Assessment Details'!$Q$42</definedName>
    <definedName name="AD_NIFA">'Assessment Details'!$F$12</definedName>
    <definedName name="AD_no">'Assessment Details'!$Q$23</definedName>
    <definedName name="AD_nolab" localSheetId="7">'Assessment Details'!#REF!</definedName>
    <definedName name="AD_nolab">'Assessment Details'!#REF!</definedName>
    <definedName name="AD_option_na">'Assessment Details'!$Q$24</definedName>
    <definedName name="AD_Other01">'Assessment Details'!$C$29</definedName>
    <definedName name="AD_Other02">'Assessment Details'!$C$30</definedName>
    <definedName name="AD_other03">'Assessment Details'!$C$31</definedName>
    <definedName name="AD_Other04">'Assessment Details'!$C$32</definedName>
    <definedName name="AD_Ozoneleg">'Assessment Details'!$P$69</definedName>
    <definedName name="AD_p_zone0">'Assessment Details'!$T$87</definedName>
    <definedName name="AD_p_zone1">'Assessment Details'!$T$88</definedName>
    <definedName name="AD_P_zone2">'Assessment Details'!$T$89</definedName>
    <definedName name="AD_P_Zone3">'Assessment Details'!$T$90</definedName>
    <definedName name="AD_Projman">'Assessment Details'!$C$26</definedName>
    <definedName name="AD_ref">'Assessment Details'!$C$5</definedName>
    <definedName name="AD_refrig">'Assessment Details'!$F$19</definedName>
    <definedName name="AD_stage_list">'Assessment Details'!$Q$18:$Q$19</definedName>
    <definedName name="AD_statement03" localSheetId="7">'Assessment Details'!#REF!</definedName>
    <definedName name="AD_statement03">'Assessment Details'!#REF!</definedName>
    <definedName name="AD_Statement04">'Assessment Details'!$Q$44</definedName>
    <definedName name="AD_statement05">'Assessment Details'!$Q$45</definedName>
    <definedName name="AD_statement06">'Assessment Details'!$Q$46</definedName>
    <definedName name="AD_tra01type">'Assessment Details'!$P$64</definedName>
    <definedName name="AD_Trans">'Assessment Details'!$F$20</definedName>
    <definedName name="AD_type_list">'Assessment Details'!$L$5:$L$8</definedName>
    <definedName name="AD_version">'Assessment Details'!$R$82</definedName>
    <definedName name="AD_Yes">'Assessment Details'!$Q$22</definedName>
    <definedName name="AD_YesNo">'Assessment Details'!$Q$22:$Q$23</definedName>
    <definedName name="AD_YesNo_list">'Assessment Details'!$Q$22:$Q$24</definedName>
    <definedName name="ADAS0">'Assessment Details'!$R$80</definedName>
    <definedName name="ADAS01">'Assessment Details'!$Q$18</definedName>
    <definedName name="ADAS02">'Assessment Details'!$Q$19</definedName>
    <definedName name="ADBN">'Assessment Details'!$C$13</definedName>
    <definedName name="ADBT_sub02">'Assessment Details'!$O$5</definedName>
    <definedName name="ADBT_sub03">'Assessment Details'!$O$6</definedName>
    <definedName name="ADBT_sub04">'Assessment Details'!$O$7</definedName>
    <definedName name="ADBT_sub05">'Assessment Details'!$O$8</definedName>
    <definedName name="ADBT_sub06">'Assessment Details'!$O$9</definedName>
    <definedName name="ADBT_sub07">'Assessment Details'!$O$10</definedName>
    <definedName name="ADBT_sub08">'Assessment Details'!$O$11</definedName>
    <definedName name="ADBT_sub09">'Assessment Details'!$O$12</definedName>
    <definedName name="ADBT_sub10">'Assessment Details'!$O$13</definedName>
    <definedName name="ADBT_sub11">'Assessment Details'!$O$14</definedName>
    <definedName name="ADBT_sub12">'Assessment Details'!$O$15</definedName>
    <definedName name="ADBT_sub13">'Assessment Details'!$O$16</definedName>
    <definedName name="ADBT_sub14">'Assessment Details'!$O$17</definedName>
    <definedName name="ADBT_sub15">'Assessment Details'!$O$18</definedName>
    <definedName name="ADBT_sub16">'Assessment Details'!$O$19</definedName>
    <definedName name="ADBT_sub17">'Assessment Details'!$O$20</definedName>
    <definedName name="ADBT0">'Assessment Details'!$F$5</definedName>
    <definedName name="ADBT1">'Assessment Details'!$L$5</definedName>
    <definedName name="ADBT12">'Assessment Details'!$L$9</definedName>
    <definedName name="ADBT13">'Assessment Details'!$L$10</definedName>
    <definedName name="ADBT14">'Assessment Details'!$L$11</definedName>
    <definedName name="ADBT15">'Assessment Details'!$L$12</definedName>
    <definedName name="ADBT16">'Assessment Details'!$L$13</definedName>
    <definedName name="ADBT17">'Assessment Details'!$L$14</definedName>
    <definedName name="ADBT18">'Assessment Details'!$L$15</definedName>
    <definedName name="ADBT19">'Assessment Details'!$L$16</definedName>
    <definedName name="ADBT2">'Assessment Details'!$L$6</definedName>
    <definedName name="ADBT20">'Assessment Details'!$L$17</definedName>
    <definedName name="ADBT3">'Assessment Details'!$L$7</definedName>
    <definedName name="ADBT8">'Assessment Details'!$L$8</definedName>
    <definedName name="ADBT9">'Assessment Details'!$L$5</definedName>
    <definedName name="ADFume_option01">'Assessment Details'!$P$43</definedName>
    <definedName name="ADIND_option02">'Assessment Details'!$F$16</definedName>
    <definedName name="ADIND_option02n">'Assessment Details'!$H$16</definedName>
    <definedName name="ADIND_option03">'Assessment Details'!$F$17</definedName>
    <definedName name="ADPT">'Assessment Details'!$Q$17</definedName>
    <definedName name="ADPT01">'Assessment Details'!$Q$11</definedName>
    <definedName name="ADPT02">'Assessment Details'!$Q$13</definedName>
    <definedName name="ADPT03">'Assessment Details'!$Q$14</definedName>
    <definedName name="ADPT04">'Assessment Details'!$Q$15</definedName>
    <definedName name="ais_ja">Poeng!$G$4</definedName>
    <definedName name="AIS_NA">Poeng!$G$6</definedName>
    <definedName name="ais_nei">Poeng!$G$5</definedName>
    <definedName name="AIS_statement09" localSheetId="7">'Assessment Details'!#REF!</definedName>
    <definedName name="AIS_statement09">'Assessment Details'!#REF!</definedName>
    <definedName name="AIS_statement29">'Assessment Details'!$B$37</definedName>
    <definedName name="BP_01">'Summary of Building Performance'!$C$36</definedName>
    <definedName name="BP_02">'Summary of Building Performance'!$C$37</definedName>
    <definedName name="BP_03">'Summary of Building Performance'!$C$38</definedName>
    <definedName name="BP_04">'Summary of Building Performance'!$C$39</definedName>
    <definedName name="BP_05">'Summary of Building Performance'!$C$40</definedName>
    <definedName name="BP_06">'Summary of Building Performance'!$C$41</definedName>
    <definedName name="BP_07">'Summary of Building Performance'!$C$42</definedName>
    <definedName name="BP_08">'Summary of Building Performance'!$C$43</definedName>
    <definedName name="BP_09">'Summary of Building Performance'!$C$44</definedName>
    <definedName name="BP_10">'Summary of Building Performance'!$C$45</definedName>
    <definedName name="BP_11">'Summary of Building Performance'!$D$36</definedName>
    <definedName name="BP_12">'Summary of Building Performance'!$D$37</definedName>
    <definedName name="BP_13">'Summary of Building Performance'!$D$38</definedName>
    <definedName name="BP_14">'Summary of Building Performance'!$D$39</definedName>
    <definedName name="BP_15">'Summary of Building Performance'!$D$40</definedName>
    <definedName name="BP_16">'Summary of Building Performance'!$D$41</definedName>
    <definedName name="BP_18">'Summary of Building Performance'!$D$42</definedName>
    <definedName name="BP_19">'Summary of Building Performance'!$D$43</definedName>
    <definedName name="BP_20">'Summary of Building Performance'!$D$44</definedName>
    <definedName name="BP_21">'Summary of Building Performance'!$D$45</definedName>
    <definedName name="BP_22">'Summary of Building Performance'!$E$36</definedName>
    <definedName name="BP_23">'Summary of Building Performance'!$E$37</definedName>
    <definedName name="BP_24">'Summary of Building Performance'!$E$38</definedName>
    <definedName name="BP_25">'Summary of Building Performance'!$E$39</definedName>
    <definedName name="BP_26">'Summary of Building Performance'!$E$40</definedName>
    <definedName name="BP_27">'Summary of Building Performance'!$E$41</definedName>
    <definedName name="BP_28">'Summary of Building Performance'!$E$42</definedName>
    <definedName name="BP_29">'Summary of Building Performance'!$E$43</definedName>
    <definedName name="BP_30">'Summary of Building Performance'!$E$44</definedName>
    <definedName name="BP_31">'Summary of Building Performance'!$E$45</definedName>
    <definedName name="BP_BREEAMRating">Poeng!$BE$265</definedName>
    <definedName name="BP_Energy_score">'Summary of Building Performance'!$K$38</definedName>
    <definedName name="BP_Innovation_score">'Summary of Building Performance'!$K$45</definedName>
    <definedName name="BP_LUE_score">'Summary of Building Performance'!$K$43</definedName>
    <definedName name="BP_Man_score">'Summary of Building Performance'!$K$36</definedName>
    <definedName name="BP_Materials_score">'Summary of Building Performance'!$K$41</definedName>
    <definedName name="BP_MinStandards">Poeng!$BE$260</definedName>
    <definedName name="BP_MinStandards_const">Poeng!$BK$260</definedName>
    <definedName name="BP_MinStandards_design">Poeng!$BH$260</definedName>
    <definedName name="BP_Trans_score">'Summary of Building Performance'!$K$39</definedName>
    <definedName name="BP_Waste_Score">'Summary of Building Performance'!$K$42</definedName>
    <definedName name="BP_Water_score">'Summary of Building Performance'!$K$40</definedName>
    <definedName name="BRK_Banner" localSheetId="7">'PAE available for copy'!$E$1</definedName>
    <definedName name="BRK_Banner">'Pre-Assessment Estimator'!$E$1</definedName>
    <definedName name="Ene_01">Poeng!$E$69</definedName>
    <definedName name="Ene_02">Poeng!$E$75</definedName>
    <definedName name="Ene_03">Poeng!$E$79</definedName>
    <definedName name="Ene_04">Poeng!$E$82</definedName>
    <definedName name="Ene_05">Poeng!$E$83</definedName>
    <definedName name="Ene_06">Poeng!$E$86</definedName>
    <definedName name="Ene_07">Poeng!$E$90</definedName>
    <definedName name="Ene_08">Poeng!$E$93</definedName>
    <definedName name="Ene_09">Poeng!$E$95</definedName>
    <definedName name="Ene_23">Poeng!$E$96</definedName>
    <definedName name="Ene_c_user">Poeng!$AK$97</definedName>
    <definedName name="Ene_cont_tot">Poeng!$AE$97</definedName>
    <definedName name="Ene_Credits">Poeng!$AB$97</definedName>
    <definedName name="Ene_d_user">Poeng!$AJ$97</definedName>
    <definedName name="Ene_tot_user">Poeng!$AI$97</definedName>
    <definedName name="Ene_Weight">'Summary of Building Performance'!$J$38</definedName>
    <definedName name="Ene01_27">Poeng!$BT$312</definedName>
    <definedName name="Ene01_28">Poeng!$BE$69</definedName>
    <definedName name="Ene01_41">Poeng!$AD$69</definedName>
    <definedName name="Ene01_42">Poeng!$AE$69</definedName>
    <definedName name="Ene01_credits">Poeng!$AB$69</definedName>
    <definedName name="Ene01_Crit1">Poeng!$E$239</definedName>
    <definedName name="Ene01_Crit1_credits">Poeng!$AB$239</definedName>
    <definedName name="Ene01_minstd">Poeng!$BE$239</definedName>
    <definedName name="Ene01_tot">Poeng!$BS$312</definedName>
    <definedName name="Ene01_user">Poeng!$AI$69</definedName>
    <definedName name="Ene02_10">Poeng!$AD$75</definedName>
    <definedName name="Ene02_11">Poeng!$BT$313</definedName>
    <definedName name="Ene02_12">Poeng!$BE$75</definedName>
    <definedName name="Ene02_13">Poeng!$AE$75</definedName>
    <definedName name="Ene02_credits">Poeng!$AB$75</definedName>
    <definedName name="Ene02_tot">Poeng!$BS$313</definedName>
    <definedName name="Ene02_user">Poeng!$AI$75</definedName>
    <definedName name="Ene03_05">Poeng!$AD$79</definedName>
    <definedName name="Ene03_06">Poeng!$AE$79</definedName>
    <definedName name="Ene03_credits">Poeng!$AB$79</definedName>
    <definedName name="Ene03_minstd">Poeng!$BE$79</definedName>
    <definedName name="Ene03_tot" localSheetId="7">Poeng!#REF!</definedName>
    <definedName name="Ene03_tot">Poeng!#REF!</definedName>
    <definedName name="Ene03_user">Poeng!$AI$79</definedName>
    <definedName name="Ene04_15">Poeng!$BS$317</definedName>
    <definedName name="Ene04_16">Poeng!$BE$82</definedName>
    <definedName name="Ene04_19">Poeng!$AD$82</definedName>
    <definedName name="Ene04_20">Poeng!$AE$82</definedName>
    <definedName name="Ene04_credits">Poeng!$AB$82</definedName>
    <definedName name="Ene04_tot">Poeng!$BR$317</definedName>
    <definedName name="Ene04_user">Poeng!$AI$82</definedName>
    <definedName name="Ene05_14">Poeng!$BS$83</definedName>
    <definedName name="Ene05_15">Poeng!$BE$83</definedName>
    <definedName name="Ene05_20">Poeng!$AD$83</definedName>
    <definedName name="Ene05_21">Poeng!$AE$83</definedName>
    <definedName name="Ene05_credits">Poeng!$AB$83</definedName>
    <definedName name="Ene05_tot">Poeng!$BR$83</definedName>
    <definedName name="Ene05_user">Poeng!$AI$83</definedName>
    <definedName name="Ene06_11">Poeng!$AD$86</definedName>
    <definedName name="Ene06_12">Poeng!$AE$86</definedName>
    <definedName name="Ene06_credits">Poeng!$AB$86</definedName>
    <definedName name="Ene06_minstd">Poeng!$BE$86</definedName>
    <definedName name="Ene06_tot">Poeng!$BR$86</definedName>
    <definedName name="Ene06_user">Poeng!$AI$86</definedName>
    <definedName name="Ene07_24">Poeng!$AD$90</definedName>
    <definedName name="Ene07_25">Poeng!$AE$90</definedName>
    <definedName name="Ene07_credits">Poeng!$AB$90</definedName>
    <definedName name="Ene07_minstd">Poeng!$BE$90</definedName>
    <definedName name="Ene07_tot">Poeng!$BR$90</definedName>
    <definedName name="Ene07_user">Poeng!$AI$90</definedName>
    <definedName name="Ene08_27">Poeng!$AD$93</definedName>
    <definedName name="Ene08_29">Poeng!$AE$93</definedName>
    <definedName name="Ene08_credits">Poeng!$AB$93</definedName>
    <definedName name="Ene08_minstd">Poeng!$BE$93</definedName>
    <definedName name="Ene08_tot">Poeng!$BR$93</definedName>
    <definedName name="Ene08_user">Poeng!$AI$93</definedName>
    <definedName name="Ene09_07">Poeng!$AD$95</definedName>
    <definedName name="Ene09_10">Poeng!$AE$95</definedName>
    <definedName name="Ene09_credits">Poeng!$AB$95</definedName>
    <definedName name="Ene09_minstd">Poeng!$BE$95</definedName>
    <definedName name="Ene09_tot">Poeng!$BR$95</definedName>
    <definedName name="Ene09_user">Poeng!$AI$95</definedName>
    <definedName name="Ene23_cont">Poeng!$AE$96</definedName>
    <definedName name="Ene23_credits">Poeng!$AB$96</definedName>
    <definedName name="Ene23_minstd">Poeng!$BE$96</definedName>
    <definedName name="Ene23_user">Poeng!$AI$96</definedName>
    <definedName name="Hea_01">Poeng!$E$39</definedName>
    <definedName name="Hea_02">Poeng!$E$46</definedName>
    <definedName name="Hea_03">Poeng!$E$51</definedName>
    <definedName name="Hea_04">Poeng!$E$55</definedName>
    <definedName name="Hea_05">Poeng!$E$56</definedName>
    <definedName name="Hea_06">Poeng!$E$59</definedName>
    <definedName name="Hea_07">Poeng!$E$62</definedName>
    <definedName name="Hea_08">Poeng!$E$63</definedName>
    <definedName name="Hea_09">Poeng!$E$65</definedName>
    <definedName name="Hea_cont_tot">Poeng!$AE$66</definedName>
    <definedName name="Hea_Credits">Poeng!$AB$66</definedName>
    <definedName name="Hea_Weight">'Summary of Building Performance'!$J$37</definedName>
    <definedName name="Hea01_06" localSheetId="7">Poeng!#REF!</definedName>
    <definedName name="Hea01_06">Poeng!#REF!</definedName>
    <definedName name="Hea01_25" localSheetId="7">Poeng!#REF!</definedName>
    <definedName name="Hea01_25">Poeng!#REF!</definedName>
    <definedName name="Hea01_26">Poeng!$AD$39</definedName>
    <definedName name="Hea01_27">Poeng!$AE$39</definedName>
    <definedName name="Hea01_credits">Poeng!$AB$39</definedName>
    <definedName name="Hea01_minstd">Poeng!$BE$39</definedName>
    <definedName name="Hea01_tot" localSheetId="7">Poeng!#REF!</definedName>
    <definedName name="Hea01_tot">Poeng!#REF!</definedName>
    <definedName name="Hea01_user">Poeng!$AI$39</definedName>
    <definedName name="Hea02_25">Poeng!$AD$46</definedName>
    <definedName name="Hea02_26">Poeng!$AE$46</definedName>
    <definedName name="Hea02_credits">Poeng!$AB$46</definedName>
    <definedName name="Hea02_Crit1">Poeng!$E$236</definedName>
    <definedName name="Hea02_Crit1_cont">Poeng!$AE$236</definedName>
    <definedName name="Hea02_Crit1_credits">Poeng!$AB$236</definedName>
    <definedName name="Hea02_minst_crit">Poeng!$BE$236</definedName>
    <definedName name="Hea02_minstd">Poeng!$BE$46</definedName>
    <definedName name="Hea02_tot">Poeng!$BS$297</definedName>
    <definedName name="Hea02_user">Poeng!$AI$46</definedName>
    <definedName name="Hea03_09">Poeng!$AD$51</definedName>
    <definedName name="Hea03_10">Poeng!$BT$298</definedName>
    <definedName name="Hea03_11">Poeng!$BE$51</definedName>
    <definedName name="Hea03_contr">Poeng!$AE$51</definedName>
    <definedName name="Hea03_credits">Poeng!$AB$51</definedName>
    <definedName name="Hea03_tot">Poeng!$BS$298</definedName>
    <definedName name="Hea03_user">Poeng!$AI$51</definedName>
    <definedName name="Hea04_10">Poeng!$BT$299</definedName>
    <definedName name="Hea04_11">Poeng!$BE$55</definedName>
    <definedName name="Hea04_12">Poeng!$AD$55</definedName>
    <definedName name="Hea04_13">Poeng!$AE$55</definedName>
    <definedName name="Hea04_credits">Poeng!$AB$55</definedName>
    <definedName name="Hea04_tot">Poeng!$BS$299</definedName>
    <definedName name="Hea04_user">Poeng!$AI$55</definedName>
    <definedName name="Hea05_07">Poeng!$AD$56</definedName>
    <definedName name="Hea05_08">Poeng!$AE$56</definedName>
    <definedName name="Hea05_credits">Poeng!$AB$56</definedName>
    <definedName name="Hea05_minstd">Poeng!$BE$56</definedName>
    <definedName name="Hea05_tot">Poeng!$BS$301</definedName>
    <definedName name="Hea05_user">Poeng!$AI$56</definedName>
    <definedName name="Hea06_07">Poeng!$AD$59</definedName>
    <definedName name="Hea06_contr">Poeng!$AE$59</definedName>
    <definedName name="Hea06_credits">Poeng!$AB$59</definedName>
    <definedName name="Hea06_minstd">Poeng!$BE$59</definedName>
    <definedName name="Hea06_tot">Poeng!$BS$302</definedName>
    <definedName name="Hea06_user">Poeng!$AI$59</definedName>
    <definedName name="Hea07_07">Poeng!$AD$62</definedName>
    <definedName name="Hea07_contr">Poeng!$AE$62</definedName>
    <definedName name="Hea07_Credits">Poeng!$AB$62</definedName>
    <definedName name="Hea07_minstd">Poeng!$BE$62</definedName>
    <definedName name="Hea07_Tot">Poeng!$BS$304</definedName>
    <definedName name="Hea07_user">Poeng!$AI$62</definedName>
    <definedName name="Hea08_07">Poeng!$AD$63</definedName>
    <definedName name="Hea08_contr">Poeng!$AE$63</definedName>
    <definedName name="Hea08_Credits">Poeng!$AB$63</definedName>
    <definedName name="Hea08_minstd">Poeng!$BE$63</definedName>
    <definedName name="Hea08_tot">Poeng!$BS$305</definedName>
    <definedName name="Hea08_user">Poeng!$AI$63</definedName>
    <definedName name="Hea09_cont">Poeng!$AE$65</definedName>
    <definedName name="Hea09_Credits">Poeng!$AB$65</definedName>
    <definedName name="Hea09_minstd">Poeng!$BE$65</definedName>
    <definedName name="Hea09_user">Poeng!$AI$65</definedName>
    <definedName name="HUG" localSheetId="7">'PAE available for copy'!$AO$16</definedName>
    <definedName name="HUG">'Pre-Assessment Estimator'!$AT$36</definedName>
    <definedName name="HW_c_user">Poeng!$AK$66</definedName>
    <definedName name="HW_d_user">Poeng!$AJ$66</definedName>
    <definedName name="HW_tot_user">Poeng!$AI$66</definedName>
    <definedName name="Inn_01">Poeng!$E$217</definedName>
    <definedName name="Inn_02">Poeng!$E$218</definedName>
    <definedName name="Inn_03">Poeng!$E$219</definedName>
    <definedName name="Inn_04">Poeng!$E$220</definedName>
    <definedName name="Inn_05">Poeng!$E$221</definedName>
    <definedName name="Inn_06">Poeng!$E$222</definedName>
    <definedName name="Inn_07">Poeng!$E$223</definedName>
    <definedName name="Inn_08">Poeng!$E$224</definedName>
    <definedName name="Inn_09">Poeng!$E$225</definedName>
    <definedName name="Inn_10">Poeng!$E$226</definedName>
    <definedName name="Inn_11">Poeng!$E$227</definedName>
    <definedName name="Inn_12">Poeng!$E$228</definedName>
    <definedName name="Inn_13">Poeng!$E$229</definedName>
    <definedName name="Inn_c_user">Poeng!$AK$231</definedName>
    <definedName name="Inn_cont_tot">Poeng!$AE$231</definedName>
    <definedName name="Inn_Credits">Poeng!$AB$231</definedName>
    <definedName name="Inn_d_user">Poeng!$AJ$231</definedName>
    <definedName name="Inn_tot_user">Poeng!$AI$231</definedName>
    <definedName name="Inn_Weight">'Summary of Building Performance'!$J$45</definedName>
    <definedName name="Inn01_cont">Poeng!$AE$217</definedName>
    <definedName name="Inn01_credits">Poeng!$AB$217</definedName>
    <definedName name="Inn01_minstd">Poeng!$BE$217</definedName>
    <definedName name="Inn01_user">Poeng!$AI$217</definedName>
    <definedName name="Inn02_cont">Poeng!$AE$218</definedName>
    <definedName name="Inn02_credits">Poeng!$AB$218</definedName>
    <definedName name="Inn02_minstd">Poeng!$BE$218</definedName>
    <definedName name="Inn02_user">Poeng!$AI$218</definedName>
    <definedName name="Inn03_cont">Poeng!$AE$219</definedName>
    <definedName name="Inn03_credits">Poeng!$AB$219</definedName>
    <definedName name="Inn03_minstd">Poeng!$BE$219</definedName>
    <definedName name="Inn03_user">Poeng!$AI$219</definedName>
    <definedName name="Inn04_cont">Poeng!$AE$220</definedName>
    <definedName name="Inn04_credits">Poeng!$AB$220</definedName>
    <definedName name="Inn04_minstd">Poeng!$BE$220</definedName>
    <definedName name="Inn04_user">Poeng!$AI$220</definedName>
    <definedName name="Inn05_cont">Poeng!$AE$221</definedName>
    <definedName name="Inn05_credits">Poeng!$AB$221</definedName>
    <definedName name="Inn05_minstd">Poeng!$BE$221</definedName>
    <definedName name="Inn05_user">Poeng!$AI$221</definedName>
    <definedName name="Inn06_cont">Poeng!$AE$222</definedName>
    <definedName name="Inn06_credits">Poeng!$AB$222</definedName>
    <definedName name="Inn06_minstd">Poeng!$BE$222</definedName>
    <definedName name="Inn06_user">Poeng!$AI$222</definedName>
    <definedName name="Inn07_cont">Poeng!$AE$223</definedName>
    <definedName name="Inn07_credits">Poeng!$AB$223</definedName>
    <definedName name="Inn07_minstd">Poeng!$BE$223</definedName>
    <definedName name="Inn07_user">Poeng!$AI$223</definedName>
    <definedName name="Inn08_cont">Poeng!$AE$224</definedName>
    <definedName name="Inn08_credits">Poeng!$AB$224</definedName>
    <definedName name="Inn08_minstd">Poeng!$BE$224</definedName>
    <definedName name="Inn08_user">Poeng!$AI$224</definedName>
    <definedName name="Inn09_cont">Poeng!$AE$225</definedName>
    <definedName name="Inn09_credits">Poeng!$AB$225</definedName>
    <definedName name="Inn09_minstd">Poeng!$BE$225</definedName>
    <definedName name="Inn09_user">Poeng!$AI$225</definedName>
    <definedName name="Inn10_cont">Poeng!$AE$226</definedName>
    <definedName name="Inn10_credits">Poeng!$AB$226</definedName>
    <definedName name="Inn10_minstd">Poeng!$BE$226</definedName>
    <definedName name="Inn10_user">Poeng!$AI$226</definedName>
    <definedName name="Inn11_cont">Poeng!$AE$227</definedName>
    <definedName name="Inn11_credits">Poeng!$AB$227</definedName>
    <definedName name="Inn11_minstd">Poeng!$BE$227</definedName>
    <definedName name="Inn11_user">Poeng!$AI$227</definedName>
    <definedName name="Inn12_cont">Poeng!$AE$228</definedName>
    <definedName name="Inn12_credits">Poeng!$AB$228</definedName>
    <definedName name="Inn12_minstd">Poeng!$BE$228</definedName>
    <definedName name="Inn12_user">Poeng!$AI$228</definedName>
    <definedName name="Inn13_cont">Poeng!$AE$229</definedName>
    <definedName name="Inn13_credits">Poeng!$AB$229</definedName>
    <definedName name="Inn13_minstd">Poeng!$BE$229</definedName>
    <definedName name="Inn13_user">Poeng!$AI$229</definedName>
    <definedName name="janei">'Assessment Details'!$O$51:$O$52</definedName>
    <definedName name="LE_01">Poeng!$E$169</definedName>
    <definedName name="LE_02">Poeng!$E$171</definedName>
    <definedName name="LE_03">Poeng!$E$175</definedName>
    <definedName name="LE_04">Poeng!$E$179</definedName>
    <definedName name="LE_05">Poeng!$E$183</definedName>
    <definedName name="LE_06">Poeng!$E$187</definedName>
    <definedName name="LE_07">Poeng!$E$189</definedName>
    <definedName name="LE_08">Poeng!$E$192</definedName>
    <definedName name="LE_cont_tot">Poeng!$AE$197</definedName>
    <definedName name="LE_Credits">Poeng!$AB$197</definedName>
    <definedName name="LE_Weight">'Summary of Building Performance'!$J$43</definedName>
    <definedName name="LE01_07">Poeng!$AD$169</definedName>
    <definedName name="LE01_08">Poeng!$AE$169</definedName>
    <definedName name="LE01_credits">Poeng!$AB$169</definedName>
    <definedName name="LE01_minstd">Poeng!$BE$169</definedName>
    <definedName name="LE01_tot">Poeng!$BR$169</definedName>
    <definedName name="LE01_user">Poeng!$AI$169</definedName>
    <definedName name="LE02_07">Poeng!$AD$171</definedName>
    <definedName name="LE02_08">Poeng!$AE$171</definedName>
    <definedName name="LE02_credits">Poeng!$AB$171</definedName>
    <definedName name="LE02_minstd">Poeng!$BE$171</definedName>
    <definedName name="LE02_tot">Poeng!$BR$171</definedName>
    <definedName name="LE02_user">Poeng!$AI$171</definedName>
    <definedName name="LE03_07">Poeng!$AD$175</definedName>
    <definedName name="LE03_cont">Poeng!$AE$175</definedName>
    <definedName name="LE03_credits">Poeng!$AB$175</definedName>
    <definedName name="LE03_minstd">Poeng!$BE$175</definedName>
    <definedName name="LE03_user">Poeng!$AI$175</definedName>
    <definedName name="LE04_13">Poeng!$AD$179</definedName>
    <definedName name="LE04_14">Poeng!$AE$179</definedName>
    <definedName name="LE04_credits">Poeng!$AB$179</definedName>
    <definedName name="LE04_minstd">Poeng!$BE$179</definedName>
    <definedName name="LE04_tot">Poeng!$BR$179</definedName>
    <definedName name="LE04_user">Poeng!$AI$179</definedName>
    <definedName name="LE05_14">Poeng!$AD$183</definedName>
    <definedName name="LE05_15">Poeng!$AE$183</definedName>
    <definedName name="LE05_credits">Poeng!$AB$183</definedName>
    <definedName name="LE05_minstd">Poeng!$BE$183</definedName>
    <definedName name="LE05_minstdach">Poeng!$BE$183</definedName>
    <definedName name="LE05_tot">Poeng!$BR$183</definedName>
    <definedName name="LE05_user">Poeng!$AI$183</definedName>
    <definedName name="LE06_07">Poeng!$AD$187</definedName>
    <definedName name="LE06_contr">Poeng!$AE$187</definedName>
    <definedName name="LE06_credits">Poeng!$AB$187</definedName>
    <definedName name="LE06_minstd">Poeng!$BE$187</definedName>
    <definedName name="LE06_tot">Poeng!$BR$187</definedName>
    <definedName name="LE06_user">Poeng!$AI$187</definedName>
    <definedName name="LE07_07">Poeng!$AD$189</definedName>
    <definedName name="LE07_cont">Poeng!$AE$189</definedName>
    <definedName name="LE07_credits">Poeng!$AB$189</definedName>
    <definedName name="LE07_minstd">Poeng!$BE$189</definedName>
    <definedName name="LE07_user">Poeng!$AI$189</definedName>
    <definedName name="LE08_07">Poeng!$AD$192</definedName>
    <definedName name="LE08_cont">Poeng!$AE$192</definedName>
    <definedName name="LE08_credits">Poeng!$AB$192</definedName>
    <definedName name="LE08_minstd">Poeng!$BE$192</definedName>
    <definedName name="LE08_user">Poeng!$AI$192</definedName>
    <definedName name="Lue_c_user">Poeng!$AK$197</definedName>
    <definedName name="Lue_d_user">Poeng!$AJ$197</definedName>
    <definedName name="Lue_tot_user">Poeng!$AI$197</definedName>
    <definedName name="Man_01">Poeng!$E$10</definedName>
    <definedName name="Man_02">Poeng!$E$16</definedName>
    <definedName name="Man_03">Poeng!$E$19</definedName>
    <definedName name="Man_04">Poeng!$E$26</definedName>
    <definedName name="Man_05">Poeng!$E$30</definedName>
    <definedName name="Man_06">Poeng!$E$34</definedName>
    <definedName name="Man_07">Poeng!$E$35</definedName>
    <definedName name="Man_c_user">Poeng!$AK$36</definedName>
    <definedName name="Man_cont_tot">Poeng!$AE$36</definedName>
    <definedName name="Man_Credits">Poeng!$AB$36</definedName>
    <definedName name="Man_d_user">Poeng!$AJ$36</definedName>
    <definedName name="Man_tot_user">Poeng!$AI$36</definedName>
    <definedName name="Man_Weight">'Summary of Building Performance'!$J$36</definedName>
    <definedName name="Man01_37">Poeng!$BE$10</definedName>
    <definedName name="Man01_38">Poeng!$AD$10</definedName>
    <definedName name="Man01_39">Poeng!$AE$10</definedName>
    <definedName name="Man01_credits">Poeng!$AB$10</definedName>
    <definedName name="Man01_Crit1">Poeng!$E$238</definedName>
    <definedName name="Man01_Crit1_cont">Poeng!$AE$238</definedName>
    <definedName name="Man01_Crit1_credits">Poeng!$AB$238</definedName>
    <definedName name="Man01_Exemp">Poeng!$BS$10</definedName>
    <definedName name="Man01_minstd">Poeng!$BE$238</definedName>
    <definedName name="Man01_Tot">Poeng!$BR$10</definedName>
    <definedName name="Man01_user">Poeng!$AI$10</definedName>
    <definedName name="Man02_11">Poeng!$AD$16</definedName>
    <definedName name="Man02_12">Poeng!$AE$16</definedName>
    <definedName name="Man02_credits">Poeng!$AB$16</definedName>
    <definedName name="Man02_Exempl">Poeng!$BS$16</definedName>
    <definedName name="Man02_minstd">Poeng!$BE$16</definedName>
    <definedName name="Man02_Tot">Poeng!$BR$16</definedName>
    <definedName name="Man02_user">Poeng!$AI$16</definedName>
    <definedName name="Man03_12">Poeng!$AD$19</definedName>
    <definedName name="Man03_18">Poeng!$AE$19</definedName>
    <definedName name="Man03_credits">Poeng!$AB$19</definedName>
    <definedName name="Man03_Crit1">Poeng!$E$240</definedName>
    <definedName name="Man03_Crit1_credits">Poeng!$AB$240</definedName>
    <definedName name="Man03_minstd">Poeng!$BE$19</definedName>
    <definedName name="Man03_minstd_cri">Poeng!$BE$240</definedName>
    <definedName name="Man03_Tot">Poeng!$BR$19</definedName>
    <definedName name="Man03_user">Poeng!$AI$19</definedName>
    <definedName name="Man04_17">Poeng!$AD$26</definedName>
    <definedName name="Man04_cont">Poeng!$AE$26</definedName>
    <definedName name="Man04_credits">Poeng!$AB$26</definedName>
    <definedName name="Man04_Crit1">Poeng!$E$241</definedName>
    <definedName name="Man04_Crit1_credits">Poeng!$AB$241</definedName>
    <definedName name="Man04_minstd">Poeng!$BE$26</definedName>
    <definedName name="Man04_minstd_cri">Poeng!$BE$241</definedName>
    <definedName name="Man04_tot">Poeng!$BR$26</definedName>
    <definedName name="Man04_user">Poeng!$AI$26</definedName>
    <definedName name="Man05_10">Poeng!$AD$30</definedName>
    <definedName name="Man05_cont">Poeng!$AE$30</definedName>
    <definedName name="Man05_credits">Poeng!$AB$30</definedName>
    <definedName name="Man05_Crit1">Poeng!$E$242</definedName>
    <definedName name="Man05_Crit1_credits">Poeng!$AB$242</definedName>
    <definedName name="Man05_minstd">Poeng!$BE$30</definedName>
    <definedName name="Man05_minstd_cri">Poeng!$BE$242</definedName>
    <definedName name="Man05_tot">Poeng!$BR$30</definedName>
    <definedName name="Man05_user">Poeng!$AI$30</definedName>
    <definedName name="Man06_cont">Poeng!$AE$34</definedName>
    <definedName name="Man06_credits">Poeng!$AB$34</definedName>
    <definedName name="Man06_minstd">Poeng!$BE$34</definedName>
    <definedName name="Man06_user">Poeng!$AI$34</definedName>
    <definedName name="Man07_cont">Poeng!$AE$35</definedName>
    <definedName name="Man07_credits">Poeng!$AB$35</definedName>
    <definedName name="Man07_minstd">Poeng!$BE$35</definedName>
    <definedName name="Man07_user">Poeng!$AI$35</definedName>
    <definedName name="Mat_01">Poeng!$E$126</definedName>
    <definedName name="Mat_02">Poeng!$E$130</definedName>
    <definedName name="Mat_03">Poeng!$E$134</definedName>
    <definedName name="Mat_05">Poeng!$E$138</definedName>
    <definedName name="Mat_06">Poeng!$E$144</definedName>
    <definedName name="Mat_07">Poeng!$E$148</definedName>
    <definedName name="Mat_c_user">Poeng!$AK$152</definedName>
    <definedName name="Mat_cont_tot">Poeng!$AE$152</definedName>
    <definedName name="Mat_Credits">Poeng!$AB$152</definedName>
    <definedName name="Mat_d_user">Poeng!$AJ$152</definedName>
    <definedName name="Mat_tot_user">Poeng!$AI$152</definedName>
    <definedName name="Mat_Weight">'Summary of Building Performance'!$J$41</definedName>
    <definedName name="Mat01_08">Poeng!$BS$126</definedName>
    <definedName name="Mat01_27">Poeng!$AD$126</definedName>
    <definedName name="Mat01_28">Poeng!$AE$126</definedName>
    <definedName name="Mat01_credits">Poeng!$AB$126</definedName>
    <definedName name="Mat01_Crit1">Poeng!$E$244</definedName>
    <definedName name="Mat01_Crit1_credits">Poeng!$AB$244</definedName>
    <definedName name="Mat01_minstd">Poeng!$BE$244</definedName>
    <definedName name="Mat01_minstd2">Poeng!$BE$126</definedName>
    <definedName name="Mat01_tot">Poeng!$BR$126</definedName>
    <definedName name="Mat01_user">Poeng!$AI$126</definedName>
    <definedName name="Mat02_37">Poeng!$AD$130</definedName>
    <definedName name="Mat02_cont">Poeng!$AE$130</definedName>
    <definedName name="Mat02_credits">Poeng!$AB$130</definedName>
    <definedName name="Mat02_Crit1">Poeng!$E$237</definedName>
    <definedName name="Mat02_Crit1_cont">Poeng!$AE$237</definedName>
    <definedName name="Mat02_Crit1_credits">Poeng!$AB$237</definedName>
    <definedName name="Mat02_minstd">Poeng!$BE$237</definedName>
    <definedName name="Mat02_minstd2">Poeng!$BE$130</definedName>
    <definedName name="Mat02_user">Poeng!$AI$130</definedName>
    <definedName name="Mat03_35">Poeng!$BS$134</definedName>
    <definedName name="Mat03_36">Poeng!$BE$134</definedName>
    <definedName name="Mat03_37">Poeng!$AD$134</definedName>
    <definedName name="Mat03_38">Poeng!$AE$134</definedName>
    <definedName name="Mat03_credits">Poeng!$AB$134</definedName>
    <definedName name="Mat03_Crit1">Poeng!$E$252</definedName>
    <definedName name="Mat03_Crit1_cont">Poeng!$AE$252</definedName>
    <definedName name="Mat03_Crit1_credits">Poeng!$AB$252</definedName>
    <definedName name="Mat03_minstd">Poeng!$BE$252</definedName>
    <definedName name="Mat03_tot">Poeng!$BR$134</definedName>
    <definedName name="Mat03_user">Poeng!$AI$134</definedName>
    <definedName name="Mat05_05">Poeng!$AD$138</definedName>
    <definedName name="Mat05_06">Poeng!$AE$138</definedName>
    <definedName name="Mat05_credits">Poeng!$AB$138</definedName>
    <definedName name="Mat05_minstd">Poeng!$BE$138</definedName>
    <definedName name="Mat05_tot">Poeng!$BR$138</definedName>
    <definedName name="Mat05_user">Poeng!$AI$138</definedName>
    <definedName name="Mat06_05">Poeng!$AD$144</definedName>
    <definedName name="Mat06_cont">Poeng!$AE$144</definedName>
    <definedName name="Mat06_credits">Poeng!$AB$144</definedName>
    <definedName name="Mat06_Crit1">Poeng!$E$245</definedName>
    <definedName name="Mat06_Crit1_credits">Poeng!$AB$245</definedName>
    <definedName name="Mat06_minstd">Poeng!$BE$144</definedName>
    <definedName name="Mat06_minstd_cred">Poeng!$BE$245</definedName>
    <definedName name="Mat06_user">Poeng!$AI$144</definedName>
    <definedName name="Mat07_05">Poeng!$AD$148</definedName>
    <definedName name="Mat07_cont">Poeng!$AE$148</definedName>
    <definedName name="Mat07_credits">Poeng!$AB$148</definedName>
    <definedName name="Mat07_Crit1">Poeng!$E$247</definedName>
    <definedName name="Mat07_Crit1_credits">Poeng!$AB$247</definedName>
    <definedName name="Mat07_minstd">Poeng!$BE$148</definedName>
    <definedName name="Mat07_minstd_cred">Poeng!$BE$247</definedName>
    <definedName name="Mat07_user">Poeng!$AI$148</definedName>
    <definedName name="Note_minstand">Poeng!$BE$268</definedName>
    <definedName name="Note_minstand_const">Poeng!$BK$268</definedName>
    <definedName name="Note_minstand_design">Poeng!$BH$268</definedName>
    <definedName name="Poeng_bort">Poeng!$AA$259</definedName>
    <definedName name="Poeng_tilgj">Poeng!$AB$259</definedName>
    <definedName name="Poeng_tot">Poeng!$T$259</definedName>
    <definedName name="Pol_01">Poeng!$E$200</definedName>
    <definedName name="Pol_02">Poeng!$E$204</definedName>
    <definedName name="Pol_03">Poeng!$E$207</definedName>
    <definedName name="Pol_04">Poeng!$E$208</definedName>
    <definedName name="Pol_05">Poeng!$E$211</definedName>
    <definedName name="Pol_c_user">Poeng!$AK$214</definedName>
    <definedName name="Pol_cont_tot">Poeng!$AE$214</definedName>
    <definedName name="Pol_Credits">Poeng!$AB$214</definedName>
    <definedName name="Pol_d_user">Poeng!$AJ$214</definedName>
    <definedName name="Pol_tot_user">Poeng!$AI$214</definedName>
    <definedName name="Pol_Weight">'Summary of Building Performance'!$J$44</definedName>
    <definedName name="Pol01_19">Poeng!$AD$200</definedName>
    <definedName name="Pol01_20">Poeng!$AE$200</definedName>
    <definedName name="Pol01_credits">Poeng!$AB$200</definedName>
    <definedName name="Pol01_minstd">Poeng!$BE$200</definedName>
    <definedName name="Pol01_tot">Poeng!$BR$200</definedName>
    <definedName name="Pol01_user">Poeng!$AI$200</definedName>
    <definedName name="Pol02_26">Poeng!$AD$204</definedName>
    <definedName name="Pol02_27">Poeng!$AE$204</definedName>
    <definedName name="Pol02_credits">Poeng!$AB$204</definedName>
    <definedName name="Pol02_minstd">Poeng!$BE$204</definedName>
    <definedName name="Pol02_tot">Poeng!$BR$204</definedName>
    <definedName name="Pol02_user">Poeng!$AI$204</definedName>
    <definedName name="Pol03_14">Poeng!$AD$207</definedName>
    <definedName name="Pol03_15">Poeng!$AE$207</definedName>
    <definedName name="Pol03_credits">Poeng!$AB$207</definedName>
    <definedName name="Pol03_minstd">Poeng!$BE$207</definedName>
    <definedName name="Pol03_tot">Poeng!$BR$207</definedName>
    <definedName name="Pol03_user">Poeng!$AI$207</definedName>
    <definedName name="Pol04_05">Poeng!$AD$208</definedName>
    <definedName name="Pol04_06">Poeng!$AE$208</definedName>
    <definedName name="Pol04_credits">Poeng!$AB$208</definedName>
    <definedName name="Pol04_minstd">Poeng!$BE$208</definedName>
    <definedName name="Pol04_tot">Poeng!$BR$208</definedName>
    <definedName name="Pol04_user">Poeng!$AI$208</definedName>
    <definedName name="Pol05_10">Poeng!$AD$211</definedName>
    <definedName name="Pol05_11">Poeng!$AE$211</definedName>
    <definedName name="Pol05_credits">Poeng!$AB$211</definedName>
    <definedName name="Pol05_minstd">Poeng!$BE$211</definedName>
    <definedName name="Pol05_tot">Poeng!$BR$211</definedName>
    <definedName name="Pol05_user">Poeng!$AI$211</definedName>
    <definedName name="_xlnm.Print_Area" localSheetId="1">'Assessment Details'!$B$2:$F$54</definedName>
    <definedName name="_xlnm.Print_Area" localSheetId="0">Instructions!$B$2:$P$19</definedName>
    <definedName name="_xlnm.Print_Area" localSheetId="7">'PAE available for copy'!$D$1:$Z$228</definedName>
    <definedName name="_xlnm.Print_Area" localSheetId="2">'Pre-Assessment Estimator'!$E$1:$AB$228</definedName>
    <definedName name="_xlnm.Print_Area" localSheetId="6">'Summary of Building Performance'!$B$2:$P$111</definedName>
    <definedName name="_xlnm.Print_Area" localSheetId="8">'Version Control'!$B$2:$P$24</definedName>
    <definedName name="_xlnm.Print_Titles" localSheetId="7">'PAE available for copy'!$9:$9</definedName>
    <definedName name="_xlnm.Print_Titles" localSheetId="2">'Pre-Assessment Estimator'!$9:$9</definedName>
    <definedName name="projecttype">'Assessment Details'!$P$98</definedName>
    <definedName name="Score_const">'Summary of Building Performance'!$M$46</definedName>
    <definedName name="Score_design">'Summary of Building Performance'!$L$46</definedName>
    <definedName name="Score_Initial">'Summary of Building Performance'!$K$46</definedName>
    <definedName name="status">'Assessment Details'!$O$45:$O$48</definedName>
    <definedName name="Tra_01">Poeng!$E$100</definedName>
    <definedName name="Tra_02">Poeng!$E$103</definedName>
    <definedName name="Tra_03">Poeng!$E$106</definedName>
    <definedName name="Tra_04">Poeng!$E$107</definedName>
    <definedName name="Tra_05">Poeng!$E$108</definedName>
    <definedName name="Tra_06">Poeng!$E$109</definedName>
    <definedName name="Tra_c_user">Poeng!$AK$110</definedName>
    <definedName name="Tra_cont_tot">Poeng!$AE$110</definedName>
    <definedName name="Tra_Credits">Poeng!$AB$110</definedName>
    <definedName name="Tra_d_user">Poeng!$AJ$110</definedName>
    <definedName name="Tra_tot_user">Poeng!$AI$110</definedName>
    <definedName name="Tra_Weight">'Summary of Building Performance'!$J$39</definedName>
    <definedName name="Tra01_07">Poeng!$AD$100</definedName>
    <definedName name="TRa01_08">Poeng!$AE$100</definedName>
    <definedName name="TRA01_BuildType">'Assessment Details'!$O$24:$O$30</definedName>
    <definedName name="Tra01_credits">Poeng!$AB$100</definedName>
    <definedName name="Tra01_Crit1">Poeng!$E$243</definedName>
    <definedName name="Tra01_Crit1_credits">Poeng!$AB$243</definedName>
    <definedName name="Tra01_minstd">Poeng!$BE$243</definedName>
    <definedName name="Tra01_tot">Poeng!$BR$100</definedName>
    <definedName name="Tra01_type7">'Assessment Details'!$O$30</definedName>
    <definedName name="Tra01_user">Poeng!$AI$100</definedName>
    <definedName name="Tra02_06">Poeng!$AD$103</definedName>
    <definedName name="Tra02_07">Poeng!$AE$103</definedName>
    <definedName name="Tra02_credits">Poeng!$AB$103</definedName>
    <definedName name="Tra02_minstd">Poeng!$BE$103</definedName>
    <definedName name="Tra02_tot">Poeng!$BR$103</definedName>
    <definedName name="Tra02_user">Poeng!$AI$103</definedName>
    <definedName name="Tra03_02">'Assessment Details'!$P$64:$P$64</definedName>
    <definedName name="Tra03_13">Poeng!$AD$106</definedName>
    <definedName name="Tra03_14">Poeng!$AE$106</definedName>
    <definedName name="Tra03_credits">Poeng!$AB$106</definedName>
    <definedName name="Tra03_minstd">Poeng!$BE$106</definedName>
    <definedName name="Tra03_tot">Poeng!$BR$106</definedName>
    <definedName name="Tra03_user">Poeng!$AI$106</definedName>
    <definedName name="Tra04_09">Poeng!$AD$107</definedName>
    <definedName name="Tra04_10">Poeng!$AE$107</definedName>
    <definedName name="Tra04_credits">Poeng!$AB$107</definedName>
    <definedName name="Tra04_minstd">Poeng!$BE$107</definedName>
    <definedName name="Tra04_tot">Poeng!$BR$107</definedName>
    <definedName name="Tra04_user">Poeng!$AI$107</definedName>
    <definedName name="Tra05_04">Poeng!$AD$108</definedName>
    <definedName name="Tra05_05">Poeng!$AE$108</definedName>
    <definedName name="Tra05_credits">Poeng!$AB$108</definedName>
    <definedName name="Tra05_minstd">Poeng!$BE$108</definedName>
    <definedName name="Tra05_tot">Poeng!$BR$108</definedName>
    <definedName name="Tra05_user">Poeng!$AI$108</definedName>
    <definedName name="Tra06_04">Poeng!$AD$109</definedName>
    <definedName name="Tra06_05">Poeng!$AE$109</definedName>
    <definedName name="Tra06_credits">Poeng!$AB$109</definedName>
    <definedName name="Tra06_minstd">Poeng!$BE$109</definedName>
    <definedName name="Tra06_user">Poeng!$AI$109</definedName>
    <definedName name="TVC_current_date">'Version Control'!$C$5</definedName>
    <definedName name="TVC_current_version">'Version Control'!$B$5</definedName>
    <definedName name="Wat__Credits">Poeng!$AB$123</definedName>
    <definedName name="Wat_01">Poeng!$E$113</definedName>
    <definedName name="Wat_02">Poeng!$E$115</definedName>
    <definedName name="Wat_03">Poeng!$E$117</definedName>
    <definedName name="Wat_04">Poeng!$E$121</definedName>
    <definedName name="Wat_c_user">Poeng!$AK$123</definedName>
    <definedName name="Wat_cont_tot">Poeng!$AE$123</definedName>
    <definedName name="Wat_Credits">Poeng!$AB$123</definedName>
    <definedName name="Wat_d_user">Poeng!$AJ$123</definedName>
    <definedName name="Wat_tot_user">Poeng!$AI$123</definedName>
    <definedName name="Wat_Weight">'Summary of Building Performance'!$J$40</definedName>
    <definedName name="Wat01_08">Poeng!$BS$113</definedName>
    <definedName name="Wat01_09">Poeng!$BE$113</definedName>
    <definedName name="Wat01_14">Poeng!$AD$113</definedName>
    <definedName name="Wat01_15">Poeng!$AE$113</definedName>
    <definedName name="Wat01_credits">Poeng!$AB$113</definedName>
    <definedName name="Wat01_minstd">Poeng!$BE$113</definedName>
    <definedName name="Wat01_tot">Poeng!$BR$113</definedName>
    <definedName name="Wat01_user">Poeng!$AI$113</definedName>
    <definedName name="Wat02_10">Poeng!$BS$115</definedName>
    <definedName name="Wat02_11">Poeng!$BE$115</definedName>
    <definedName name="Wat02_12">Poeng!$AD$115</definedName>
    <definedName name="Wat02_13">Poeng!$AE$115</definedName>
    <definedName name="Wat02_credits">Poeng!$AB$115</definedName>
    <definedName name="Wat02_tot">Poeng!$BR$115</definedName>
    <definedName name="Wat02_user">Poeng!$AI$115</definedName>
    <definedName name="Wat03_09">Poeng!$AD$117</definedName>
    <definedName name="Wat03_10">Poeng!$AE$117</definedName>
    <definedName name="Wat03_credits">Poeng!$AB$117</definedName>
    <definedName name="Wat03_minstd">Poeng!$BE$117</definedName>
    <definedName name="Wat03_tot">Poeng!$BR$117</definedName>
    <definedName name="Wat03_user">Poeng!$AI$117</definedName>
    <definedName name="Wat04_05">Poeng!$AD$121</definedName>
    <definedName name="Wat04_06">Poeng!$AE$121</definedName>
    <definedName name="Wat04_credits">Poeng!$AB$121</definedName>
    <definedName name="Wat04_minstd">Poeng!$BE$121</definedName>
    <definedName name="Wat04_tot">Poeng!$BR$121</definedName>
    <definedName name="Wat04_user">Poeng!$AI$121</definedName>
    <definedName name="Wst_01">Poeng!$E$155</definedName>
    <definedName name="Wst_02">Poeng!$E$159</definedName>
    <definedName name="Wst_03">Poeng!$E$160</definedName>
    <definedName name="Wst_04">Poeng!$E$164</definedName>
    <definedName name="Wst_c_user">Poeng!$AK$166</definedName>
    <definedName name="Wst_cont_tot">Poeng!$AE$166</definedName>
    <definedName name="Wst_Credits">Poeng!$AB$166</definedName>
    <definedName name="Wst_d_user">Poeng!$AJ$166</definedName>
    <definedName name="Wst_tot_user">Poeng!$AI$166</definedName>
    <definedName name="Wst_Weight">'Summary of Building Performance'!$J$42</definedName>
    <definedName name="Wst01_17">Poeng!$BS$155</definedName>
    <definedName name="Wst01_18">Poeng!$BE$155</definedName>
    <definedName name="Wst01_27">Poeng!$AD$155</definedName>
    <definedName name="Wst01_28">Poeng!$AE$155</definedName>
    <definedName name="Wst01_credits">Poeng!$AB$155</definedName>
    <definedName name="Wst01_Crit1">Poeng!$E$248</definedName>
    <definedName name="Wst01_Crit1_credits">Poeng!$AB$248</definedName>
    <definedName name="Wst01_minstd">Poeng!$BE$248</definedName>
    <definedName name="Wst01_tot">Poeng!$BR$155</definedName>
    <definedName name="Wst01_user">Poeng!$AI$155</definedName>
    <definedName name="Wst02_11">Poeng!$BS$159</definedName>
    <definedName name="Wst02_14">Poeng!$AD$159</definedName>
    <definedName name="Wst02_15">Poeng!$AE$159</definedName>
    <definedName name="Wst02_credits">Poeng!$AB$159</definedName>
    <definedName name="Wst02_minstd">Poeng!$BE$159</definedName>
    <definedName name="Wst02_tot">Poeng!$BR$159</definedName>
    <definedName name="Wst02_user">Poeng!$AI$159</definedName>
    <definedName name="Wst03_09">Poeng!$BS$160</definedName>
    <definedName name="Wst03_10">Poeng!$BE$160</definedName>
    <definedName name="Wst03_12">Poeng!$AD$160</definedName>
    <definedName name="Wst03_13">Poeng!$AE$160</definedName>
    <definedName name="Wst03_credits">Poeng!$AB$160</definedName>
    <definedName name="Wst03_tot">Poeng!$BR$160</definedName>
    <definedName name="Wst03_user">Poeng!$AI$160</definedName>
    <definedName name="Wst04_08">Poeng!$AD$164</definedName>
    <definedName name="Wst04_09">Poeng!$AE$164</definedName>
    <definedName name="Wst04_credits">Poeng!$AB$164</definedName>
    <definedName name="Wst04_minstd">Poeng!$BE$164</definedName>
    <definedName name="Wst04_tot">Poeng!$BR$164</definedName>
    <definedName name="Wst04_user">Poeng!$AI$164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11" l="1"/>
  <c r="F12" i="11"/>
  <c r="D12" i="11"/>
  <c r="L6" i="5"/>
  <c r="Q17" i="3"/>
  <c r="BQ250" i="13" l="1"/>
  <c r="C62" i="11"/>
  <c r="C54" i="11"/>
  <c r="Z14" i="21"/>
  <c r="Y14" i="21"/>
  <c r="X14" i="21"/>
  <c r="U14" i="21"/>
  <c r="S14" i="21"/>
  <c r="R14" i="21"/>
  <c r="Q14" i="21"/>
  <c r="N14" i="21"/>
  <c r="L14" i="21"/>
  <c r="K14" i="21"/>
  <c r="J14" i="21"/>
  <c r="G14" i="21"/>
  <c r="D14" i="21"/>
  <c r="BQ256" i="13"/>
  <c r="AF14" i="5"/>
  <c r="AE14" i="5"/>
  <c r="AD14" i="5"/>
  <c r="C63" i="11" l="1"/>
  <c r="AK282" i="13"/>
  <c r="Z73" i="21" l="1"/>
  <c r="Y73" i="21"/>
  <c r="X73" i="21"/>
  <c r="U73" i="21"/>
  <c r="S73" i="21"/>
  <c r="R73" i="21"/>
  <c r="Q73" i="21"/>
  <c r="N73" i="21"/>
  <c r="L73" i="21"/>
  <c r="K73" i="21"/>
  <c r="J73" i="21"/>
  <c r="G73" i="21"/>
  <c r="D73" i="21"/>
  <c r="BQ257" i="13"/>
  <c r="AJ282" i="13" l="1"/>
  <c r="AI282" i="13"/>
  <c r="Z174" i="21"/>
  <c r="Y174" i="21"/>
  <c r="X174" i="21"/>
  <c r="U174" i="21"/>
  <c r="S174" i="21"/>
  <c r="R174" i="21"/>
  <c r="Q174" i="21"/>
  <c r="N174" i="21"/>
  <c r="L174" i="21"/>
  <c r="K174" i="21"/>
  <c r="J174" i="21"/>
  <c r="G174" i="21"/>
  <c r="D174" i="21"/>
  <c r="AF173" i="5"/>
  <c r="AE173" i="5"/>
  <c r="AD173" i="5"/>
  <c r="BW175" i="13"/>
  <c r="R215" i="21" l="1"/>
  <c r="R40" i="21"/>
  <c r="K40" i="21"/>
  <c r="K41" i="21"/>
  <c r="AB41" i="21"/>
  <c r="Z41" i="21"/>
  <c r="Y41" i="21"/>
  <c r="X41" i="21"/>
  <c r="U41" i="21"/>
  <c r="S41" i="21"/>
  <c r="R41" i="21"/>
  <c r="Q41" i="21"/>
  <c r="N41" i="21"/>
  <c r="L41" i="21"/>
  <c r="J41" i="21"/>
  <c r="G41" i="21"/>
  <c r="E131" i="13" l="1"/>
  <c r="AF41" i="5" l="1"/>
  <c r="AE41" i="5"/>
  <c r="AD41" i="5"/>
  <c r="BT235" i="13"/>
  <c r="BS235" i="13"/>
  <c r="BR235" i="13"/>
  <c r="H192" i="16" l="1"/>
  <c r="H38" i="16"/>
  <c r="I23" i="3"/>
  <c r="H22" i="16"/>
  <c r="D12" i="21" l="1"/>
  <c r="D13" i="21"/>
  <c r="D15" i="21"/>
  <c r="D16" i="21"/>
  <c r="D17" i="21"/>
  <c r="D18" i="21"/>
  <c r="D19" i="21"/>
  <c r="D20" i="21"/>
  <c r="D21" i="21"/>
  <c r="D22" i="21"/>
  <c r="D23" i="21"/>
  <c r="D24" i="21"/>
  <c r="D25" i="21"/>
  <c r="D26" i="21"/>
  <c r="D27" i="21"/>
  <c r="D28" i="21"/>
  <c r="D29" i="21"/>
  <c r="D30" i="21"/>
  <c r="D31" i="21"/>
  <c r="D32" i="21"/>
  <c r="D33" i="21"/>
  <c r="D34" i="21"/>
  <c r="D35" i="21"/>
  <c r="D39" i="21"/>
  <c r="D47" i="21"/>
  <c r="D52" i="21"/>
  <c r="D56" i="21"/>
  <c r="D59" i="21"/>
  <c r="D62" i="21"/>
  <c r="D67" i="21"/>
  <c r="D75" i="21"/>
  <c r="D79" i="21"/>
  <c r="D82" i="21"/>
  <c r="D85" i="21"/>
  <c r="D89" i="21"/>
  <c r="D92" i="21"/>
  <c r="D97" i="21"/>
  <c r="D100" i="21"/>
  <c r="D106" i="21"/>
  <c r="D109" i="21"/>
  <c r="D111" i="21"/>
  <c r="D115" i="21"/>
  <c r="D120" i="21"/>
  <c r="D124" i="21"/>
  <c r="D128" i="21"/>
  <c r="D132" i="21"/>
  <c r="D138" i="21"/>
  <c r="D143" i="21"/>
  <c r="D150" i="21"/>
  <c r="D156" i="21"/>
  <c r="D158" i="21"/>
  <c r="D160" i="21"/>
  <c r="D165" i="21"/>
  <c r="D168" i="21"/>
  <c r="D172" i="21"/>
  <c r="D173" i="21"/>
  <c r="D175" i="21"/>
  <c r="D176" i="21"/>
  <c r="D180" i="21"/>
  <c r="D184" i="21"/>
  <c r="D186" i="21"/>
  <c r="D189" i="21"/>
  <c r="D197" i="21"/>
  <c r="D202" i="21"/>
  <c r="D205" i="21"/>
  <c r="D208" i="21"/>
  <c r="D214" i="21"/>
  <c r="D215" i="21"/>
  <c r="D216" i="21"/>
  <c r="D217" i="21"/>
  <c r="D218" i="21"/>
  <c r="D219" i="21"/>
  <c r="D220" i="21"/>
  <c r="D221" i="21"/>
  <c r="D222" i="21"/>
  <c r="D223" i="21"/>
  <c r="D224" i="21"/>
  <c r="D225" i="21"/>
  <c r="D226" i="21"/>
  <c r="D227" i="21"/>
  <c r="D11" i="21"/>
  <c r="Z72" i="21" l="1"/>
  <c r="Y72" i="21"/>
  <c r="X72" i="21"/>
  <c r="U72" i="21"/>
  <c r="S72" i="21"/>
  <c r="R72" i="21"/>
  <c r="Q72" i="21"/>
  <c r="N72" i="21"/>
  <c r="L72" i="21"/>
  <c r="K72" i="21"/>
  <c r="J72" i="21"/>
  <c r="G72" i="21"/>
  <c r="G207" i="21"/>
  <c r="J207" i="21"/>
  <c r="K207" i="21"/>
  <c r="L207" i="21"/>
  <c r="N207" i="21"/>
  <c r="Q207" i="21"/>
  <c r="R207" i="21"/>
  <c r="S207" i="21"/>
  <c r="U207" i="21"/>
  <c r="X207" i="21"/>
  <c r="Y207" i="21"/>
  <c r="Z207" i="21"/>
  <c r="G208" i="21"/>
  <c r="J208" i="21"/>
  <c r="K208" i="21"/>
  <c r="L208" i="21"/>
  <c r="N208" i="21"/>
  <c r="Q208" i="21"/>
  <c r="R208" i="21"/>
  <c r="S208" i="21"/>
  <c r="U208" i="21"/>
  <c r="X208" i="21"/>
  <c r="Y208" i="21"/>
  <c r="Z208" i="21"/>
  <c r="G209" i="21"/>
  <c r="J209" i="21"/>
  <c r="K209" i="21"/>
  <c r="L209" i="21"/>
  <c r="N209" i="21"/>
  <c r="Q209" i="21"/>
  <c r="R209" i="21"/>
  <c r="S209" i="21"/>
  <c r="U209" i="21"/>
  <c r="X209" i="21"/>
  <c r="Y209" i="21"/>
  <c r="Z209" i="21"/>
  <c r="G210" i="21"/>
  <c r="J210" i="21"/>
  <c r="K210" i="21"/>
  <c r="L210" i="21"/>
  <c r="N210" i="21"/>
  <c r="Q210" i="21"/>
  <c r="R210" i="21"/>
  <c r="S210" i="21"/>
  <c r="U210" i="21"/>
  <c r="X210" i="21"/>
  <c r="Y210" i="21"/>
  <c r="Z210" i="21"/>
  <c r="G211" i="21"/>
  <c r="J211" i="21"/>
  <c r="K211" i="21"/>
  <c r="L211" i="21"/>
  <c r="N211" i="21"/>
  <c r="Q211" i="21"/>
  <c r="R211" i="21"/>
  <c r="S211" i="21"/>
  <c r="U211" i="21"/>
  <c r="X211" i="21"/>
  <c r="Y211" i="21"/>
  <c r="Z211" i="21"/>
  <c r="G186" i="21"/>
  <c r="J186" i="21"/>
  <c r="K186" i="21"/>
  <c r="L186" i="21"/>
  <c r="N186" i="21"/>
  <c r="Q186" i="21"/>
  <c r="R186" i="21"/>
  <c r="S186" i="21"/>
  <c r="U186" i="21"/>
  <c r="X186" i="21"/>
  <c r="Y186" i="21"/>
  <c r="Z186" i="21"/>
  <c r="G187" i="21"/>
  <c r="J187" i="21"/>
  <c r="K187" i="21"/>
  <c r="L187" i="21"/>
  <c r="N187" i="21"/>
  <c r="Q187" i="21"/>
  <c r="R187" i="21"/>
  <c r="S187" i="21"/>
  <c r="U187" i="21"/>
  <c r="X187" i="21"/>
  <c r="Y187" i="21"/>
  <c r="Z187" i="21"/>
  <c r="G188" i="21"/>
  <c r="J188" i="21"/>
  <c r="K188" i="21"/>
  <c r="L188" i="21"/>
  <c r="N188" i="21"/>
  <c r="Q188" i="21"/>
  <c r="R188" i="21"/>
  <c r="S188" i="21"/>
  <c r="U188" i="21"/>
  <c r="X188" i="21"/>
  <c r="Y188" i="21"/>
  <c r="Z188" i="21"/>
  <c r="G189" i="21"/>
  <c r="J189" i="21"/>
  <c r="K189" i="21"/>
  <c r="L189" i="21"/>
  <c r="N189" i="21"/>
  <c r="Q189" i="21"/>
  <c r="R189" i="21"/>
  <c r="S189" i="21"/>
  <c r="U189" i="21"/>
  <c r="X189" i="21"/>
  <c r="Y189" i="21"/>
  <c r="Z189" i="21"/>
  <c r="G190" i="21"/>
  <c r="J190" i="21"/>
  <c r="K190" i="21"/>
  <c r="L190" i="21"/>
  <c r="N190" i="21"/>
  <c r="Q190" i="21"/>
  <c r="R190" i="21"/>
  <c r="S190" i="21"/>
  <c r="U190" i="21"/>
  <c r="X190" i="21"/>
  <c r="Y190" i="21"/>
  <c r="Z190" i="21"/>
  <c r="G191" i="21"/>
  <c r="J191" i="21"/>
  <c r="K191" i="21"/>
  <c r="L191" i="21"/>
  <c r="N191" i="21"/>
  <c r="Q191" i="21"/>
  <c r="R191" i="21"/>
  <c r="S191" i="21"/>
  <c r="U191" i="21"/>
  <c r="X191" i="21"/>
  <c r="Y191" i="21"/>
  <c r="Z191" i="21"/>
  <c r="G192" i="21"/>
  <c r="J192" i="21"/>
  <c r="K192" i="21"/>
  <c r="L192" i="21"/>
  <c r="N192" i="21"/>
  <c r="Q192" i="21"/>
  <c r="R192" i="21"/>
  <c r="S192" i="21"/>
  <c r="U192" i="21"/>
  <c r="X192" i="21"/>
  <c r="Y192" i="21"/>
  <c r="Z192" i="21"/>
  <c r="G193" i="21"/>
  <c r="J193" i="21"/>
  <c r="K193" i="21"/>
  <c r="L193" i="21"/>
  <c r="N193" i="21"/>
  <c r="Q193" i="21"/>
  <c r="R193" i="21"/>
  <c r="S193" i="21"/>
  <c r="U193" i="21"/>
  <c r="X193" i="21"/>
  <c r="Y193" i="21"/>
  <c r="Z193" i="21"/>
  <c r="G194" i="21"/>
  <c r="J194" i="21"/>
  <c r="K194" i="21"/>
  <c r="L194" i="21"/>
  <c r="N194" i="21"/>
  <c r="Q194" i="21"/>
  <c r="R194" i="21"/>
  <c r="S194" i="21"/>
  <c r="U194" i="21"/>
  <c r="X194" i="21"/>
  <c r="Y194" i="21"/>
  <c r="Z194" i="21"/>
  <c r="G153" i="21"/>
  <c r="J153" i="21"/>
  <c r="K153" i="21"/>
  <c r="L153" i="21"/>
  <c r="N153" i="21"/>
  <c r="Q153" i="21"/>
  <c r="R153" i="21"/>
  <c r="S153" i="21"/>
  <c r="U153" i="21"/>
  <c r="X153" i="21"/>
  <c r="Y153" i="21"/>
  <c r="Z153" i="21"/>
  <c r="G154" i="21"/>
  <c r="J154" i="21"/>
  <c r="K154" i="21"/>
  <c r="L154" i="21"/>
  <c r="N154" i="21"/>
  <c r="Q154" i="21"/>
  <c r="R154" i="21"/>
  <c r="S154" i="21"/>
  <c r="U154" i="21"/>
  <c r="X154" i="21"/>
  <c r="Y154" i="21"/>
  <c r="Z154" i="21"/>
  <c r="G155" i="21"/>
  <c r="J155" i="21"/>
  <c r="K155" i="21"/>
  <c r="L155" i="21"/>
  <c r="N155" i="21"/>
  <c r="Q155" i="21"/>
  <c r="R155" i="21"/>
  <c r="S155" i="21"/>
  <c r="U155" i="21"/>
  <c r="X155" i="21"/>
  <c r="Y155" i="21"/>
  <c r="Z155" i="21"/>
  <c r="G156" i="21"/>
  <c r="J156" i="21"/>
  <c r="K156" i="21"/>
  <c r="L156" i="21"/>
  <c r="N156" i="21"/>
  <c r="Q156" i="21"/>
  <c r="R156" i="21"/>
  <c r="S156" i="21"/>
  <c r="U156" i="21"/>
  <c r="X156" i="21"/>
  <c r="Y156" i="21"/>
  <c r="Z156" i="21"/>
  <c r="G157" i="21"/>
  <c r="J157" i="21"/>
  <c r="K157" i="21"/>
  <c r="L157" i="21"/>
  <c r="N157" i="21"/>
  <c r="Q157" i="21"/>
  <c r="R157" i="21"/>
  <c r="S157" i="21"/>
  <c r="U157" i="21"/>
  <c r="X157" i="21"/>
  <c r="Y157" i="21"/>
  <c r="Z157" i="21"/>
  <c r="G158" i="21"/>
  <c r="J158" i="21"/>
  <c r="K158" i="21"/>
  <c r="L158" i="21"/>
  <c r="N158" i="21"/>
  <c r="Q158" i="21"/>
  <c r="R158" i="21"/>
  <c r="S158" i="21"/>
  <c r="U158" i="21"/>
  <c r="X158" i="21"/>
  <c r="Y158" i="21"/>
  <c r="Z158" i="21"/>
  <c r="G159" i="21"/>
  <c r="J159" i="21"/>
  <c r="K159" i="21"/>
  <c r="L159" i="21"/>
  <c r="N159" i="21"/>
  <c r="Q159" i="21"/>
  <c r="R159" i="21"/>
  <c r="S159" i="21"/>
  <c r="U159" i="21"/>
  <c r="X159" i="21"/>
  <c r="Y159" i="21"/>
  <c r="Z159" i="21"/>
  <c r="G160" i="21"/>
  <c r="J160" i="21"/>
  <c r="K160" i="21"/>
  <c r="L160" i="21"/>
  <c r="N160" i="21"/>
  <c r="Q160" i="21"/>
  <c r="R160" i="21"/>
  <c r="S160" i="21"/>
  <c r="U160" i="21"/>
  <c r="X160" i="21"/>
  <c r="Y160" i="21"/>
  <c r="Z160" i="21"/>
  <c r="G161" i="21"/>
  <c r="J161" i="21"/>
  <c r="K161" i="21"/>
  <c r="L161" i="21"/>
  <c r="N161" i="21"/>
  <c r="Q161" i="21"/>
  <c r="R161" i="21"/>
  <c r="S161" i="21"/>
  <c r="U161" i="21"/>
  <c r="X161" i="21"/>
  <c r="Y161" i="21"/>
  <c r="Z161" i="21"/>
  <c r="G162" i="21"/>
  <c r="J162" i="21"/>
  <c r="K162" i="21"/>
  <c r="L162" i="21"/>
  <c r="N162" i="21"/>
  <c r="Q162" i="21"/>
  <c r="R162" i="21"/>
  <c r="S162" i="21"/>
  <c r="U162" i="21"/>
  <c r="X162" i="21"/>
  <c r="Y162" i="21"/>
  <c r="Z162" i="21"/>
  <c r="G145" i="21"/>
  <c r="J145" i="21"/>
  <c r="K145" i="21"/>
  <c r="L145" i="21"/>
  <c r="N145" i="21"/>
  <c r="Q145" i="21"/>
  <c r="R145" i="21"/>
  <c r="S145" i="21"/>
  <c r="U145" i="21"/>
  <c r="X145" i="21"/>
  <c r="Y145" i="21"/>
  <c r="Z145" i="21"/>
  <c r="G146" i="21"/>
  <c r="J146" i="21"/>
  <c r="K146" i="21"/>
  <c r="L146" i="21"/>
  <c r="N146" i="21"/>
  <c r="Q146" i="21"/>
  <c r="R146" i="21"/>
  <c r="S146" i="21"/>
  <c r="U146" i="21"/>
  <c r="X146" i="21"/>
  <c r="Y146" i="21"/>
  <c r="Z146" i="21"/>
  <c r="G147" i="21"/>
  <c r="J147" i="21"/>
  <c r="K147" i="21"/>
  <c r="L147" i="21"/>
  <c r="N147" i="21"/>
  <c r="Q147" i="21"/>
  <c r="R147" i="21"/>
  <c r="S147" i="21"/>
  <c r="U147" i="21"/>
  <c r="X147" i="21"/>
  <c r="Y147" i="21"/>
  <c r="Z147" i="21"/>
  <c r="G116" i="21"/>
  <c r="J116" i="21"/>
  <c r="K116" i="21"/>
  <c r="L116" i="21"/>
  <c r="N116" i="21"/>
  <c r="Q116" i="21"/>
  <c r="R116" i="21"/>
  <c r="S116" i="21"/>
  <c r="U116" i="21"/>
  <c r="X116" i="21"/>
  <c r="Y116" i="21"/>
  <c r="Z116" i="21"/>
  <c r="G117" i="21"/>
  <c r="J117" i="21"/>
  <c r="K117" i="21"/>
  <c r="L117" i="21"/>
  <c r="N117" i="21"/>
  <c r="Q117" i="21"/>
  <c r="R117" i="21"/>
  <c r="S117" i="21"/>
  <c r="U117" i="21"/>
  <c r="X117" i="21"/>
  <c r="Y117" i="21"/>
  <c r="Z117" i="21"/>
  <c r="AB119" i="21"/>
  <c r="AF119" i="21"/>
  <c r="G225" i="21"/>
  <c r="J225" i="21"/>
  <c r="K225" i="21"/>
  <c r="L225" i="21"/>
  <c r="N225" i="21"/>
  <c r="Q225" i="21"/>
  <c r="R225" i="21"/>
  <c r="S225" i="21"/>
  <c r="U225" i="21"/>
  <c r="X225" i="21"/>
  <c r="Y225" i="21"/>
  <c r="Z225" i="21"/>
  <c r="G226" i="21"/>
  <c r="J226" i="21"/>
  <c r="K226" i="21"/>
  <c r="L226" i="21"/>
  <c r="N226" i="21"/>
  <c r="Q226" i="21"/>
  <c r="R226" i="21"/>
  <c r="S226" i="21"/>
  <c r="U226" i="21"/>
  <c r="X226" i="21"/>
  <c r="Y226" i="21"/>
  <c r="Z226" i="21"/>
  <c r="G227" i="21"/>
  <c r="J227" i="21"/>
  <c r="K227" i="21"/>
  <c r="L227" i="21"/>
  <c r="N227" i="21"/>
  <c r="Q227" i="21"/>
  <c r="R227" i="21"/>
  <c r="S227" i="21"/>
  <c r="U227" i="21"/>
  <c r="X227" i="21"/>
  <c r="Y227" i="21"/>
  <c r="Z227" i="21"/>
  <c r="G228" i="21"/>
  <c r="J228" i="21"/>
  <c r="K228" i="21"/>
  <c r="L228" i="21"/>
  <c r="N228" i="21"/>
  <c r="Q228" i="21"/>
  <c r="R228" i="21"/>
  <c r="S228" i="21"/>
  <c r="U228" i="21"/>
  <c r="X228" i="21"/>
  <c r="Y228" i="21"/>
  <c r="Z228" i="21"/>
  <c r="AF139" i="5" l="1"/>
  <c r="AE139" i="5"/>
  <c r="AD139" i="5"/>
  <c r="C139" i="5"/>
  <c r="D139" i="21" s="1"/>
  <c r="C140" i="5"/>
  <c r="D140" i="21" s="1"/>
  <c r="BP158" i="13"/>
  <c r="BP156" i="13"/>
  <c r="BP114" i="13"/>
  <c r="BQ255" i="13"/>
  <c r="BQ254" i="13"/>
  <c r="BQ253" i="13"/>
  <c r="AF151" i="5"/>
  <c r="AE151" i="5"/>
  <c r="AD151" i="5"/>
  <c r="AF107" i="5"/>
  <c r="AE107" i="5"/>
  <c r="AD107" i="5"/>
  <c r="C151" i="5"/>
  <c r="D151" i="21" s="1"/>
  <c r="C152" i="5"/>
  <c r="D152" i="21" s="1"/>
  <c r="AF71" i="5"/>
  <c r="AE71" i="5"/>
  <c r="AD71" i="5"/>
  <c r="C107" i="5"/>
  <c r="D107" i="21" s="1"/>
  <c r="C108" i="5"/>
  <c r="D108" i="21" s="1"/>
  <c r="BQ251" i="13"/>
  <c r="U94" i="13" l="1"/>
  <c r="U93" i="13" s="1"/>
  <c r="AF37" i="21"/>
  <c r="AF38" i="21"/>
  <c r="AF65" i="21"/>
  <c r="AF66" i="21"/>
  <c r="AF95" i="21"/>
  <c r="AF96" i="21"/>
  <c r="AF104" i="21"/>
  <c r="AF105" i="21"/>
  <c r="AF118" i="21"/>
  <c r="Z224" i="21"/>
  <c r="Y224" i="21"/>
  <c r="X224" i="21"/>
  <c r="U224" i="21"/>
  <c r="S224" i="21"/>
  <c r="R224" i="21"/>
  <c r="Q224" i="21"/>
  <c r="N224" i="21"/>
  <c r="L224" i="21"/>
  <c r="K224" i="21"/>
  <c r="J224" i="21"/>
  <c r="G224" i="21"/>
  <c r="Z223" i="21"/>
  <c r="Y223" i="21"/>
  <c r="X223" i="21"/>
  <c r="U223" i="21"/>
  <c r="S223" i="21"/>
  <c r="R223" i="21"/>
  <c r="Q223" i="21"/>
  <c r="N223" i="21"/>
  <c r="L223" i="21"/>
  <c r="K223" i="21"/>
  <c r="J223" i="21"/>
  <c r="G223" i="21"/>
  <c r="Z222" i="21"/>
  <c r="Y222" i="21"/>
  <c r="X222" i="21"/>
  <c r="U222" i="21"/>
  <c r="S222" i="21"/>
  <c r="R222" i="21"/>
  <c r="Q222" i="21"/>
  <c r="N222" i="21"/>
  <c r="L222" i="21"/>
  <c r="K222" i="21"/>
  <c r="J222" i="21"/>
  <c r="G222" i="21"/>
  <c r="Z221" i="21"/>
  <c r="Y221" i="21"/>
  <c r="X221" i="21"/>
  <c r="U221" i="21"/>
  <c r="S221" i="21"/>
  <c r="R221" i="21"/>
  <c r="Q221" i="21"/>
  <c r="N221" i="21"/>
  <c r="L221" i="21"/>
  <c r="K221" i="21"/>
  <c r="J221" i="21"/>
  <c r="G221" i="21"/>
  <c r="Z220" i="21"/>
  <c r="Y220" i="21"/>
  <c r="X220" i="21"/>
  <c r="U220" i="21"/>
  <c r="S220" i="21"/>
  <c r="R220" i="21"/>
  <c r="Q220" i="21"/>
  <c r="N220" i="21"/>
  <c r="L220" i="21"/>
  <c r="K220" i="21"/>
  <c r="J220" i="21"/>
  <c r="G220" i="21"/>
  <c r="Z219" i="21"/>
  <c r="Y219" i="21"/>
  <c r="X219" i="21"/>
  <c r="U219" i="21"/>
  <c r="S219" i="21"/>
  <c r="R219" i="21"/>
  <c r="Q219" i="21"/>
  <c r="N219" i="21"/>
  <c r="L219" i="21"/>
  <c r="K219" i="21"/>
  <c r="J219" i="21"/>
  <c r="G219" i="21"/>
  <c r="Z218" i="21"/>
  <c r="Y218" i="21"/>
  <c r="X218" i="21"/>
  <c r="U218" i="21"/>
  <c r="S218" i="21"/>
  <c r="R218" i="21"/>
  <c r="Q218" i="21"/>
  <c r="N218" i="21"/>
  <c r="L218" i="21"/>
  <c r="K218" i="21"/>
  <c r="J218" i="21"/>
  <c r="G218" i="21"/>
  <c r="Z217" i="21"/>
  <c r="Y217" i="21"/>
  <c r="X217" i="21"/>
  <c r="U217" i="21"/>
  <c r="S217" i="21"/>
  <c r="R217" i="21"/>
  <c r="Q217" i="21"/>
  <c r="N217" i="21"/>
  <c r="L217" i="21"/>
  <c r="K217" i="21"/>
  <c r="J217" i="21"/>
  <c r="G217" i="21"/>
  <c r="Z216" i="21"/>
  <c r="Y216" i="21"/>
  <c r="X216" i="21"/>
  <c r="U216" i="21"/>
  <c r="S216" i="21"/>
  <c r="R216" i="21"/>
  <c r="Q216" i="21"/>
  <c r="N216" i="21"/>
  <c r="L216" i="21"/>
  <c r="K216" i="21"/>
  <c r="J216" i="21"/>
  <c r="G216" i="21"/>
  <c r="Z215" i="21"/>
  <c r="Y215" i="21"/>
  <c r="X215" i="21"/>
  <c r="U215" i="21"/>
  <c r="S215" i="21"/>
  <c r="Q215" i="21"/>
  <c r="N215" i="21"/>
  <c r="L215" i="21"/>
  <c r="K215" i="21"/>
  <c r="J215" i="21"/>
  <c r="G215" i="21"/>
  <c r="Z214" i="21"/>
  <c r="Y214" i="21"/>
  <c r="X214" i="21"/>
  <c r="U214" i="21"/>
  <c r="S214" i="21"/>
  <c r="R214" i="21"/>
  <c r="Q214" i="21"/>
  <c r="N214" i="21"/>
  <c r="L214" i="21"/>
  <c r="K214" i="21"/>
  <c r="J214" i="21"/>
  <c r="G214" i="21"/>
  <c r="Z206" i="21"/>
  <c r="Y206" i="21"/>
  <c r="X206" i="21"/>
  <c r="U206" i="21"/>
  <c r="S206" i="21"/>
  <c r="R206" i="21"/>
  <c r="Q206" i="21"/>
  <c r="N206" i="21"/>
  <c r="L206" i="21"/>
  <c r="K206" i="21"/>
  <c r="J206" i="21"/>
  <c r="G206" i="21"/>
  <c r="Z205" i="21"/>
  <c r="Y205" i="21"/>
  <c r="X205" i="21"/>
  <c r="U205" i="21"/>
  <c r="S205" i="21"/>
  <c r="R205" i="21"/>
  <c r="Q205" i="21"/>
  <c r="N205" i="21"/>
  <c r="L205" i="21"/>
  <c r="K205" i="21"/>
  <c r="J205" i="21"/>
  <c r="G205" i="21"/>
  <c r="Z204" i="21"/>
  <c r="Y204" i="21"/>
  <c r="X204" i="21"/>
  <c r="U204" i="21"/>
  <c r="S204" i="21"/>
  <c r="R204" i="21"/>
  <c r="Q204" i="21"/>
  <c r="N204" i="21"/>
  <c r="L204" i="21"/>
  <c r="K204" i="21"/>
  <c r="J204" i="21"/>
  <c r="G204" i="21"/>
  <c r="Z203" i="21"/>
  <c r="Y203" i="21"/>
  <c r="X203" i="21"/>
  <c r="U203" i="21"/>
  <c r="S203" i="21"/>
  <c r="R203" i="21"/>
  <c r="Q203" i="21"/>
  <c r="N203" i="21"/>
  <c r="L203" i="21"/>
  <c r="K203" i="21"/>
  <c r="J203" i="21"/>
  <c r="G203" i="21"/>
  <c r="Z202" i="21"/>
  <c r="Y202" i="21"/>
  <c r="X202" i="21"/>
  <c r="U202" i="21"/>
  <c r="S202" i="21"/>
  <c r="R202" i="21"/>
  <c r="Q202" i="21"/>
  <c r="N202" i="21"/>
  <c r="L202" i="21"/>
  <c r="K202" i="21"/>
  <c r="J202" i="21"/>
  <c r="G202" i="21"/>
  <c r="Z201" i="21"/>
  <c r="Y201" i="21"/>
  <c r="X201" i="21"/>
  <c r="U201" i="21"/>
  <c r="S201" i="21"/>
  <c r="R201" i="21"/>
  <c r="Q201" i="21"/>
  <c r="N201" i="21"/>
  <c r="L201" i="21"/>
  <c r="K201" i="21"/>
  <c r="J201" i="21"/>
  <c r="G201" i="21"/>
  <c r="Z200" i="21"/>
  <c r="Y200" i="21"/>
  <c r="X200" i="21"/>
  <c r="U200" i="21"/>
  <c r="S200" i="21"/>
  <c r="R200" i="21"/>
  <c r="Q200" i="21"/>
  <c r="N200" i="21"/>
  <c r="L200" i="21"/>
  <c r="K200" i="21"/>
  <c r="J200" i="21"/>
  <c r="G200" i="21"/>
  <c r="Z199" i="21"/>
  <c r="Y199" i="21"/>
  <c r="X199" i="21"/>
  <c r="U199" i="21"/>
  <c r="S199" i="21"/>
  <c r="R199" i="21"/>
  <c r="Q199" i="21"/>
  <c r="N199" i="21"/>
  <c r="L199" i="21"/>
  <c r="K199" i="21"/>
  <c r="J199" i="21"/>
  <c r="G199" i="21"/>
  <c r="Z198" i="21"/>
  <c r="Y198" i="21"/>
  <c r="X198" i="21"/>
  <c r="U198" i="21"/>
  <c r="S198" i="21"/>
  <c r="R198" i="21"/>
  <c r="Q198" i="21"/>
  <c r="N198" i="21"/>
  <c r="L198" i="21"/>
  <c r="K198" i="21"/>
  <c r="J198" i="21"/>
  <c r="G198" i="21"/>
  <c r="Z197" i="21"/>
  <c r="Y197" i="21"/>
  <c r="X197" i="21"/>
  <c r="U197" i="21"/>
  <c r="S197" i="21"/>
  <c r="R197" i="21"/>
  <c r="Q197" i="21"/>
  <c r="N197" i="21"/>
  <c r="L197" i="21"/>
  <c r="K197" i="21"/>
  <c r="J197" i="21"/>
  <c r="G197" i="21"/>
  <c r="Z185" i="21"/>
  <c r="Y185" i="21"/>
  <c r="X185" i="21"/>
  <c r="U185" i="21"/>
  <c r="S185" i="21"/>
  <c r="R185" i="21"/>
  <c r="Q185" i="21"/>
  <c r="N185" i="21"/>
  <c r="L185" i="21"/>
  <c r="K185" i="21"/>
  <c r="J185" i="21"/>
  <c r="G185" i="21"/>
  <c r="Z184" i="21"/>
  <c r="Y184" i="21"/>
  <c r="X184" i="21"/>
  <c r="U184" i="21"/>
  <c r="S184" i="21"/>
  <c r="R184" i="21"/>
  <c r="Q184" i="21"/>
  <c r="N184" i="21"/>
  <c r="L184" i="21"/>
  <c r="K184" i="21"/>
  <c r="J184" i="21"/>
  <c r="G184" i="21"/>
  <c r="Z183" i="21"/>
  <c r="Y183" i="21"/>
  <c r="X183" i="21"/>
  <c r="U183" i="21"/>
  <c r="S183" i="21"/>
  <c r="R183" i="21"/>
  <c r="Q183" i="21"/>
  <c r="N183" i="21"/>
  <c r="L183" i="21"/>
  <c r="K183" i="21"/>
  <c r="J183" i="21"/>
  <c r="G183" i="21"/>
  <c r="Z182" i="21"/>
  <c r="Y182" i="21"/>
  <c r="X182" i="21"/>
  <c r="U182" i="21"/>
  <c r="S182" i="21"/>
  <c r="R182" i="21"/>
  <c r="Q182" i="21"/>
  <c r="N182" i="21"/>
  <c r="L182" i="21"/>
  <c r="K182" i="21"/>
  <c r="J182" i="21"/>
  <c r="G182" i="21"/>
  <c r="Z181" i="21"/>
  <c r="Y181" i="21"/>
  <c r="X181" i="21"/>
  <c r="U181" i="21"/>
  <c r="S181" i="21"/>
  <c r="R181" i="21"/>
  <c r="Q181" i="21"/>
  <c r="N181" i="21"/>
  <c r="L181" i="21"/>
  <c r="K181" i="21"/>
  <c r="J181" i="21"/>
  <c r="G181" i="21"/>
  <c r="Z180" i="21"/>
  <c r="Y180" i="21"/>
  <c r="X180" i="21"/>
  <c r="U180" i="21"/>
  <c r="S180" i="21"/>
  <c r="R180" i="21"/>
  <c r="Q180" i="21"/>
  <c r="N180" i="21"/>
  <c r="L180" i="21"/>
  <c r="K180" i="21"/>
  <c r="J180" i="21"/>
  <c r="G180" i="21"/>
  <c r="Z179" i="21"/>
  <c r="Y179" i="21"/>
  <c r="X179" i="21"/>
  <c r="U179" i="21"/>
  <c r="S179" i="21"/>
  <c r="R179" i="21"/>
  <c r="Q179" i="21"/>
  <c r="N179" i="21"/>
  <c r="L179" i="21"/>
  <c r="K179" i="21"/>
  <c r="J179" i="21"/>
  <c r="G179" i="21"/>
  <c r="Z178" i="21"/>
  <c r="Y178" i="21"/>
  <c r="X178" i="21"/>
  <c r="U178" i="21"/>
  <c r="S178" i="21"/>
  <c r="R178" i="21"/>
  <c r="Q178" i="21"/>
  <c r="N178" i="21"/>
  <c r="L178" i="21"/>
  <c r="K178" i="21"/>
  <c r="J178" i="21"/>
  <c r="G178" i="21"/>
  <c r="Z177" i="21"/>
  <c r="Y177" i="21"/>
  <c r="X177" i="21"/>
  <c r="U177" i="21"/>
  <c r="S177" i="21"/>
  <c r="R177" i="21"/>
  <c r="Q177" i="21"/>
  <c r="N177" i="21"/>
  <c r="L177" i="21"/>
  <c r="K177" i="21"/>
  <c r="J177" i="21"/>
  <c r="G177" i="21"/>
  <c r="Z176" i="21"/>
  <c r="Y176" i="21"/>
  <c r="X176" i="21"/>
  <c r="U176" i="21"/>
  <c r="S176" i="21"/>
  <c r="R176" i="21"/>
  <c r="Q176" i="21"/>
  <c r="N176" i="21"/>
  <c r="L176" i="21"/>
  <c r="K176" i="21"/>
  <c r="J176" i="21"/>
  <c r="G176" i="21"/>
  <c r="Z175" i="21"/>
  <c r="Y175" i="21"/>
  <c r="X175" i="21"/>
  <c r="U175" i="21"/>
  <c r="S175" i="21"/>
  <c r="R175" i="21"/>
  <c r="Q175" i="21"/>
  <c r="N175" i="21"/>
  <c r="L175" i="21"/>
  <c r="K175" i="21"/>
  <c r="J175" i="21"/>
  <c r="G175" i="21"/>
  <c r="Z173" i="21"/>
  <c r="Y173" i="21"/>
  <c r="X173" i="21"/>
  <c r="U173" i="21"/>
  <c r="S173" i="21"/>
  <c r="R173" i="21"/>
  <c r="Q173" i="21"/>
  <c r="N173" i="21"/>
  <c r="L173" i="21"/>
  <c r="K173" i="21"/>
  <c r="J173" i="21"/>
  <c r="G173" i="21"/>
  <c r="Z172" i="21"/>
  <c r="Y172" i="21"/>
  <c r="X172" i="21"/>
  <c r="U172" i="21"/>
  <c r="S172" i="21"/>
  <c r="R172" i="21"/>
  <c r="Q172" i="21"/>
  <c r="N172" i="21"/>
  <c r="L172" i="21"/>
  <c r="K172" i="21"/>
  <c r="J172" i="21"/>
  <c r="G172" i="21"/>
  <c r="Z171" i="21"/>
  <c r="Y171" i="21"/>
  <c r="X171" i="21"/>
  <c r="U171" i="21"/>
  <c r="S171" i="21"/>
  <c r="R171" i="21"/>
  <c r="Q171" i="21"/>
  <c r="N171" i="21"/>
  <c r="L171" i="21"/>
  <c r="K171" i="21"/>
  <c r="J171" i="21"/>
  <c r="G171" i="21"/>
  <c r="Z170" i="21"/>
  <c r="Y170" i="21"/>
  <c r="X170" i="21"/>
  <c r="U170" i="21"/>
  <c r="S170" i="21"/>
  <c r="R170" i="21"/>
  <c r="Q170" i="21"/>
  <c r="N170" i="21"/>
  <c r="L170" i="21"/>
  <c r="K170" i="21"/>
  <c r="J170" i="21"/>
  <c r="G170" i="21"/>
  <c r="Z169" i="21"/>
  <c r="Y169" i="21"/>
  <c r="X169" i="21"/>
  <c r="U169" i="21"/>
  <c r="S169" i="21"/>
  <c r="R169" i="21"/>
  <c r="Q169" i="21"/>
  <c r="N169" i="21"/>
  <c r="L169" i="21"/>
  <c r="K169" i="21"/>
  <c r="J169" i="21"/>
  <c r="G169" i="21"/>
  <c r="Z168" i="21"/>
  <c r="Y168" i="21"/>
  <c r="X168" i="21"/>
  <c r="U168" i="21"/>
  <c r="S168" i="21"/>
  <c r="R168" i="21"/>
  <c r="Q168" i="21"/>
  <c r="N168" i="21"/>
  <c r="L168" i="21"/>
  <c r="K168" i="21"/>
  <c r="J168" i="21"/>
  <c r="G168" i="21"/>
  <c r="Z167" i="21"/>
  <c r="Y167" i="21"/>
  <c r="X167" i="21"/>
  <c r="U167" i="21"/>
  <c r="S167" i="21"/>
  <c r="R167" i="21"/>
  <c r="Q167" i="21"/>
  <c r="N167" i="21"/>
  <c r="L167" i="21"/>
  <c r="K167" i="21"/>
  <c r="J167" i="21"/>
  <c r="G167" i="21"/>
  <c r="Z166" i="21"/>
  <c r="Y166" i="21"/>
  <c r="X166" i="21"/>
  <c r="U166" i="21"/>
  <c r="S166" i="21"/>
  <c r="R166" i="21"/>
  <c r="Q166" i="21"/>
  <c r="N166" i="21"/>
  <c r="L166" i="21"/>
  <c r="K166" i="21"/>
  <c r="J166" i="21"/>
  <c r="G166" i="21"/>
  <c r="Z165" i="21"/>
  <c r="Y165" i="21"/>
  <c r="X165" i="21"/>
  <c r="U165" i="21"/>
  <c r="S165" i="21"/>
  <c r="R165" i="21"/>
  <c r="Q165" i="21"/>
  <c r="N165" i="21"/>
  <c r="L165" i="21"/>
  <c r="K165" i="21"/>
  <c r="J165" i="21"/>
  <c r="G165" i="21"/>
  <c r="Z152" i="21"/>
  <c r="Y152" i="21"/>
  <c r="X152" i="21"/>
  <c r="U152" i="21"/>
  <c r="S152" i="21"/>
  <c r="R152" i="21"/>
  <c r="Q152" i="21"/>
  <c r="N152" i="21"/>
  <c r="L152" i="21"/>
  <c r="K152" i="21"/>
  <c r="J152" i="21"/>
  <c r="G152" i="21"/>
  <c r="Z151" i="21"/>
  <c r="Y151" i="21"/>
  <c r="X151" i="21"/>
  <c r="U151" i="21"/>
  <c r="S151" i="21"/>
  <c r="R151" i="21"/>
  <c r="Q151" i="21"/>
  <c r="N151" i="21"/>
  <c r="L151" i="21"/>
  <c r="K151" i="21"/>
  <c r="J151" i="21"/>
  <c r="G151" i="21"/>
  <c r="Z150" i="21"/>
  <c r="Y150" i="21"/>
  <c r="X150" i="21"/>
  <c r="U150" i="21"/>
  <c r="S150" i="21"/>
  <c r="R150" i="21"/>
  <c r="Q150" i="21"/>
  <c r="N150" i="21"/>
  <c r="L150" i="21"/>
  <c r="K150" i="21"/>
  <c r="J150" i="21"/>
  <c r="G150" i="21"/>
  <c r="Z144" i="21"/>
  <c r="Y144" i="21"/>
  <c r="X144" i="21"/>
  <c r="U144" i="21"/>
  <c r="S144" i="21"/>
  <c r="R144" i="21"/>
  <c r="Q144" i="21"/>
  <c r="N144" i="21"/>
  <c r="L144" i="21"/>
  <c r="K144" i="21"/>
  <c r="J144" i="21"/>
  <c r="G144" i="21"/>
  <c r="Z143" i="21"/>
  <c r="Y143" i="21"/>
  <c r="X143" i="21"/>
  <c r="U143" i="21"/>
  <c r="S143" i="21"/>
  <c r="R143" i="21"/>
  <c r="Q143" i="21"/>
  <c r="N143" i="21"/>
  <c r="L143" i="21"/>
  <c r="K143" i="21"/>
  <c r="J143" i="21"/>
  <c r="G143" i="21"/>
  <c r="Z142" i="21"/>
  <c r="Y142" i="21"/>
  <c r="X142" i="21"/>
  <c r="U142" i="21"/>
  <c r="S142" i="21"/>
  <c r="R142" i="21"/>
  <c r="Q142" i="21"/>
  <c r="N142" i="21"/>
  <c r="L142" i="21"/>
  <c r="K142" i="21"/>
  <c r="J142" i="21"/>
  <c r="G142" i="21"/>
  <c r="Z141" i="21"/>
  <c r="Y141" i="21"/>
  <c r="X141" i="21"/>
  <c r="U141" i="21"/>
  <c r="S141" i="21"/>
  <c r="R141" i="21"/>
  <c r="Q141" i="21"/>
  <c r="N141" i="21"/>
  <c r="L141" i="21"/>
  <c r="K141" i="21"/>
  <c r="J141" i="21"/>
  <c r="G141" i="21"/>
  <c r="Z140" i="21"/>
  <c r="Y140" i="21"/>
  <c r="X140" i="21"/>
  <c r="U140" i="21"/>
  <c r="S140" i="21"/>
  <c r="R140" i="21"/>
  <c r="Q140" i="21"/>
  <c r="N140" i="21"/>
  <c r="L140" i="21"/>
  <c r="K140" i="21"/>
  <c r="J140" i="21"/>
  <c r="G140" i="21"/>
  <c r="Z139" i="21"/>
  <c r="Y139" i="21"/>
  <c r="X139" i="21"/>
  <c r="U139" i="21"/>
  <c r="S139" i="21"/>
  <c r="R139" i="21"/>
  <c r="Q139" i="21"/>
  <c r="N139" i="21"/>
  <c r="L139" i="21"/>
  <c r="K139" i="21"/>
  <c r="J139" i="21"/>
  <c r="G139" i="21"/>
  <c r="Z138" i="21"/>
  <c r="Y138" i="21"/>
  <c r="X138" i="21"/>
  <c r="U138" i="21"/>
  <c r="S138" i="21"/>
  <c r="R138" i="21"/>
  <c r="Q138" i="21"/>
  <c r="N138" i="21"/>
  <c r="L138" i="21"/>
  <c r="K138" i="21"/>
  <c r="J138" i="21"/>
  <c r="G138" i="21"/>
  <c r="Z137" i="21"/>
  <c r="Y137" i="21"/>
  <c r="X137" i="21"/>
  <c r="U137" i="21"/>
  <c r="S137" i="21"/>
  <c r="R137" i="21"/>
  <c r="Q137" i="21"/>
  <c r="N137" i="21"/>
  <c r="L137" i="21"/>
  <c r="K137" i="21"/>
  <c r="J137" i="21"/>
  <c r="G137" i="21"/>
  <c r="Z136" i="21"/>
  <c r="Y136" i="21"/>
  <c r="X136" i="21"/>
  <c r="U136" i="21"/>
  <c r="S136" i="21"/>
  <c r="R136" i="21"/>
  <c r="Q136" i="21"/>
  <c r="N136" i="21"/>
  <c r="L136" i="21"/>
  <c r="K136" i="21"/>
  <c r="J136" i="21"/>
  <c r="G136" i="21"/>
  <c r="Z135" i="21"/>
  <c r="Y135" i="21"/>
  <c r="X135" i="21"/>
  <c r="U135" i="21"/>
  <c r="S135" i="21"/>
  <c r="R135" i="21"/>
  <c r="Q135" i="21"/>
  <c r="N135" i="21"/>
  <c r="L135" i="21"/>
  <c r="K135" i="21"/>
  <c r="J135" i="21"/>
  <c r="G135" i="21"/>
  <c r="Z134" i="21"/>
  <c r="Y134" i="21"/>
  <c r="X134" i="21"/>
  <c r="U134" i="21"/>
  <c r="S134" i="21"/>
  <c r="R134" i="21"/>
  <c r="Q134" i="21"/>
  <c r="N134" i="21"/>
  <c r="L134" i="21"/>
  <c r="K134" i="21"/>
  <c r="J134" i="21"/>
  <c r="G134" i="21"/>
  <c r="Z133" i="21"/>
  <c r="Y133" i="21"/>
  <c r="X133" i="21"/>
  <c r="U133" i="21"/>
  <c r="S133" i="21"/>
  <c r="R133" i="21"/>
  <c r="Q133" i="21"/>
  <c r="N133" i="21"/>
  <c r="L133" i="21"/>
  <c r="K133" i="21"/>
  <c r="J133" i="21"/>
  <c r="G133" i="21"/>
  <c r="Z132" i="21"/>
  <c r="Y132" i="21"/>
  <c r="X132" i="21"/>
  <c r="U132" i="21"/>
  <c r="S132" i="21"/>
  <c r="R132" i="21"/>
  <c r="Q132" i="21"/>
  <c r="N132" i="21"/>
  <c r="L132" i="21"/>
  <c r="K132" i="21"/>
  <c r="J132" i="21"/>
  <c r="G132" i="21"/>
  <c r="Z131" i="21"/>
  <c r="Y131" i="21"/>
  <c r="X131" i="21"/>
  <c r="U131" i="21"/>
  <c r="S131" i="21"/>
  <c r="R131" i="21"/>
  <c r="Q131" i="21"/>
  <c r="N131" i="21"/>
  <c r="L131" i="21"/>
  <c r="K131" i="21"/>
  <c r="J131" i="21"/>
  <c r="G131" i="21"/>
  <c r="Z130" i="21"/>
  <c r="Y130" i="21"/>
  <c r="X130" i="21"/>
  <c r="U130" i="21"/>
  <c r="S130" i="21"/>
  <c r="R130" i="21"/>
  <c r="Q130" i="21"/>
  <c r="N130" i="21"/>
  <c r="L130" i="21"/>
  <c r="K130" i="21"/>
  <c r="J130" i="21"/>
  <c r="G130" i="21"/>
  <c r="Z129" i="21"/>
  <c r="Y129" i="21"/>
  <c r="X129" i="21"/>
  <c r="U129" i="21"/>
  <c r="S129" i="21"/>
  <c r="R129" i="21"/>
  <c r="Q129" i="21"/>
  <c r="N129" i="21"/>
  <c r="L129" i="21"/>
  <c r="K129" i="21"/>
  <c r="J129" i="21"/>
  <c r="G129" i="21"/>
  <c r="Z128" i="21"/>
  <c r="Y128" i="21"/>
  <c r="X128" i="21"/>
  <c r="U128" i="21"/>
  <c r="S128" i="21"/>
  <c r="R128" i="21"/>
  <c r="Q128" i="21"/>
  <c r="N128" i="21"/>
  <c r="L128" i="21"/>
  <c r="K128" i="21"/>
  <c r="J128" i="21"/>
  <c r="G128" i="21"/>
  <c r="Z127" i="21"/>
  <c r="Y127" i="21"/>
  <c r="X127" i="21"/>
  <c r="U127" i="21"/>
  <c r="S127" i="21"/>
  <c r="R127" i="21"/>
  <c r="Q127" i="21"/>
  <c r="N127" i="21"/>
  <c r="L127" i="21"/>
  <c r="K127" i="21"/>
  <c r="J127" i="21"/>
  <c r="G127" i="21"/>
  <c r="Z126" i="21"/>
  <c r="Y126" i="21"/>
  <c r="X126" i="21"/>
  <c r="U126" i="21"/>
  <c r="S126" i="21"/>
  <c r="R126" i="21"/>
  <c r="Q126" i="21"/>
  <c r="N126" i="21"/>
  <c r="L126" i="21"/>
  <c r="K126" i="21"/>
  <c r="J126" i="21"/>
  <c r="G126" i="21"/>
  <c r="Z125" i="21"/>
  <c r="Y125" i="21"/>
  <c r="X125" i="21"/>
  <c r="U125" i="21"/>
  <c r="S125" i="21"/>
  <c r="R125" i="21"/>
  <c r="Q125" i="21"/>
  <c r="N125" i="21"/>
  <c r="L125" i="21"/>
  <c r="K125" i="21"/>
  <c r="J125" i="21"/>
  <c r="G125" i="21"/>
  <c r="Z124" i="21"/>
  <c r="Y124" i="21"/>
  <c r="X124" i="21"/>
  <c r="U124" i="21"/>
  <c r="S124" i="21"/>
  <c r="R124" i="21"/>
  <c r="Q124" i="21"/>
  <c r="N124" i="21"/>
  <c r="L124" i="21"/>
  <c r="K124" i="21"/>
  <c r="J124" i="21"/>
  <c r="G124" i="21"/>
  <c r="Z123" i="21"/>
  <c r="Y123" i="21"/>
  <c r="X123" i="21"/>
  <c r="U123" i="21"/>
  <c r="S123" i="21"/>
  <c r="R123" i="21"/>
  <c r="Q123" i="21"/>
  <c r="N123" i="21"/>
  <c r="L123" i="21"/>
  <c r="K123" i="21"/>
  <c r="J123" i="21"/>
  <c r="G123" i="21"/>
  <c r="Z122" i="21"/>
  <c r="Y122" i="21"/>
  <c r="X122" i="21"/>
  <c r="U122" i="21"/>
  <c r="S122" i="21"/>
  <c r="R122" i="21"/>
  <c r="Q122" i="21"/>
  <c r="N122" i="21"/>
  <c r="L122" i="21"/>
  <c r="K122" i="21"/>
  <c r="J122" i="21"/>
  <c r="G122" i="21"/>
  <c r="Z121" i="21"/>
  <c r="Y121" i="21"/>
  <c r="X121" i="21"/>
  <c r="U121" i="21"/>
  <c r="S121" i="21"/>
  <c r="R121" i="21"/>
  <c r="Q121" i="21"/>
  <c r="N121" i="21"/>
  <c r="L121" i="21"/>
  <c r="K121" i="21"/>
  <c r="J121" i="21"/>
  <c r="G121" i="21"/>
  <c r="Z120" i="21"/>
  <c r="Y120" i="21"/>
  <c r="X120" i="21"/>
  <c r="U120" i="21"/>
  <c r="S120" i="21"/>
  <c r="R120" i="21"/>
  <c r="Q120" i="21"/>
  <c r="N120" i="21"/>
  <c r="L120" i="21"/>
  <c r="K120" i="21"/>
  <c r="J120" i="21"/>
  <c r="G120" i="21"/>
  <c r="Z115" i="21"/>
  <c r="Y115" i="21"/>
  <c r="X115" i="21"/>
  <c r="U115" i="21"/>
  <c r="S115" i="21"/>
  <c r="R115" i="21"/>
  <c r="Q115" i="21"/>
  <c r="N115" i="21"/>
  <c r="L115" i="21"/>
  <c r="K115" i="21"/>
  <c r="J115" i="21"/>
  <c r="G115" i="21"/>
  <c r="Z114" i="21"/>
  <c r="Y114" i="21"/>
  <c r="X114" i="21"/>
  <c r="U114" i="21"/>
  <c r="S114" i="21"/>
  <c r="R114" i="21"/>
  <c r="Q114" i="21"/>
  <c r="N114" i="21"/>
  <c r="L114" i="21"/>
  <c r="K114" i="21"/>
  <c r="J114" i="21"/>
  <c r="G114" i="21"/>
  <c r="Z113" i="21"/>
  <c r="Y113" i="21"/>
  <c r="X113" i="21"/>
  <c r="U113" i="21"/>
  <c r="S113" i="21"/>
  <c r="R113" i="21"/>
  <c r="Q113" i="21"/>
  <c r="N113" i="21"/>
  <c r="L113" i="21"/>
  <c r="K113" i="21"/>
  <c r="J113" i="21"/>
  <c r="G113" i="21"/>
  <c r="Z112" i="21"/>
  <c r="Y112" i="21"/>
  <c r="X112" i="21"/>
  <c r="U112" i="21"/>
  <c r="S112" i="21"/>
  <c r="R112" i="21"/>
  <c r="Q112" i="21"/>
  <c r="N112" i="21"/>
  <c r="L112" i="21"/>
  <c r="K112" i="21"/>
  <c r="J112" i="21"/>
  <c r="G112" i="21"/>
  <c r="Z111" i="21"/>
  <c r="Y111" i="21"/>
  <c r="X111" i="21"/>
  <c r="U111" i="21"/>
  <c r="S111" i="21"/>
  <c r="R111" i="21"/>
  <c r="Q111" i="21"/>
  <c r="N111" i="21"/>
  <c r="L111" i="21"/>
  <c r="K111" i="21"/>
  <c r="J111" i="21"/>
  <c r="G111" i="21"/>
  <c r="Z110" i="21"/>
  <c r="Y110" i="21"/>
  <c r="X110" i="21"/>
  <c r="U110" i="21"/>
  <c r="S110" i="21"/>
  <c r="R110" i="21"/>
  <c r="Q110" i="21"/>
  <c r="N110" i="21"/>
  <c r="L110" i="21"/>
  <c r="K110" i="21"/>
  <c r="J110" i="21"/>
  <c r="G110" i="21"/>
  <c r="Z109" i="21"/>
  <c r="Y109" i="21"/>
  <c r="X109" i="21"/>
  <c r="U109" i="21"/>
  <c r="S109" i="21"/>
  <c r="R109" i="21"/>
  <c r="Q109" i="21"/>
  <c r="N109" i="21"/>
  <c r="L109" i="21"/>
  <c r="K109" i="21"/>
  <c r="J109" i="21"/>
  <c r="G109" i="21"/>
  <c r="Z108" i="21"/>
  <c r="Y108" i="21"/>
  <c r="X108" i="21"/>
  <c r="U108" i="21"/>
  <c r="S108" i="21"/>
  <c r="R108" i="21"/>
  <c r="Q108" i="21"/>
  <c r="N108" i="21"/>
  <c r="L108" i="21"/>
  <c r="K108" i="21"/>
  <c r="J108" i="21"/>
  <c r="G108" i="21"/>
  <c r="Z107" i="21"/>
  <c r="Y107" i="21"/>
  <c r="X107" i="21"/>
  <c r="U107" i="21"/>
  <c r="S107" i="21"/>
  <c r="R107" i="21"/>
  <c r="Q107" i="21"/>
  <c r="N107" i="21"/>
  <c r="L107" i="21"/>
  <c r="K107" i="21"/>
  <c r="J107" i="21"/>
  <c r="G107" i="21"/>
  <c r="Z106" i="21"/>
  <c r="Y106" i="21"/>
  <c r="X106" i="21"/>
  <c r="U106" i="21"/>
  <c r="S106" i="21"/>
  <c r="R106" i="21"/>
  <c r="Q106" i="21"/>
  <c r="N106" i="21"/>
  <c r="L106" i="21"/>
  <c r="K106" i="21"/>
  <c r="J106" i="21"/>
  <c r="G106" i="21"/>
  <c r="Z102" i="21"/>
  <c r="Y102" i="21"/>
  <c r="X102" i="21"/>
  <c r="U102" i="21"/>
  <c r="S102" i="21"/>
  <c r="R102" i="21"/>
  <c r="Q102" i="21"/>
  <c r="N102" i="21"/>
  <c r="L102" i="21"/>
  <c r="K102" i="21"/>
  <c r="J102" i="21"/>
  <c r="G102" i="21"/>
  <c r="Z101" i="21"/>
  <c r="Y101" i="21"/>
  <c r="X101" i="21"/>
  <c r="U101" i="21"/>
  <c r="S101" i="21"/>
  <c r="R101" i="21"/>
  <c r="Q101" i="21"/>
  <c r="N101" i="21"/>
  <c r="L101" i="21"/>
  <c r="K101" i="21"/>
  <c r="J101" i="21"/>
  <c r="G101" i="21"/>
  <c r="Z100" i="21"/>
  <c r="Y100" i="21"/>
  <c r="X100" i="21"/>
  <c r="U100" i="21"/>
  <c r="S100" i="21"/>
  <c r="R100" i="21"/>
  <c r="Q100" i="21"/>
  <c r="N100" i="21"/>
  <c r="L100" i="21"/>
  <c r="K100" i="21"/>
  <c r="J100" i="21"/>
  <c r="G100" i="21"/>
  <c r="Z99" i="21"/>
  <c r="Y99" i="21"/>
  <c r="X99" i="21"/>
  <c r="U99" i="21"/>
  <c r="S99" i="21"/>
  <c r="R99" i="21"/>
  <c r="Q99" i="21"/>
  <c r="N99" i="21"/>
  <c r="L99" i="21"/>
  <c r="K99" i="21"/>
  <c r="J99" i="21"/>
  <c r="G99" i="21"/>
  <c r="Z98" i="21"/>
  <c r="Y98" i="21"/>
  <c r="X98" i="21"/>
  <c r="U98" i="21"/>
  <c r="S98" i="21"/>
  <c r="R98" i="21"/>
  <c r="Q98" i="21"/>
  <c r="N98" i="21"/>
  <c r="L98" i="21"/>
  <c r="K98" i="21"/>
  <c r="J98" i="21"/>
  <c r="G98" i="21"/>
  <c r="Z97" i="21"/>
  <c r="Y97" i="21"/>
  <c r="X97" i="21"/>
  <c r="U97" i="21"/>
  <c r="S97" i="21"/>
  <c r="R97" i="21"/>
  <c r="Q97" i="21"/>
  <c r="N97" i="21"/>
  <c r="L97" i="21"/>
  <c r="K97" i="21"/>
  <c r="J97" i="21"/>
  <c r="G97" i="21"/>
  <c r="Z93" i="21"/>
  <c r="Y93" i="21"/>
  <c r="X93" i="21"/>
  <c r="U93" i="21"/>
  <c r="S93" i="21"/>
  <c r="R93" i="21"/>
  <c r="Q93" i="21"/>
  <c r="N93" i="21"/>
  <c r="L93" i="21"/>
  <c r="K93" i="21"/>
  <c r="J93" i="21"/>
  <c r="G93" i="21"/>
  <c r="Z92" i="21"/>
  <c r="Y92" i="21"/>
  <c r="X92" i="21"/>
  <c r="U92" i="21"/>
  <c r="S92" i="21"/>
  <c r="R92" i="21"/>
  <c r="Q92" i="21"/>
  <c r="N92" i="21"/>
  <c r="L92" i="21"/>
  <c r="K92" i="21"/>
  <c r="J92" i="21"/>
  <c r="G92" i="21"/>
  <c r="Z91" i="21"/>
  <c r="Y91" i="21"/>
  <c r="X91" i="21"/>
  <c r="U91" i="21"/>
  <c r="S91" i="21"/>
  <c r="R91" i="21"/>
  <c r="Q91" i="21"/>
  <c r="N91" i="21"/>
  <c r="L91" i="21"/>
  <c r="K91" i="21"/>
  <c r="J91" i="21"/>
  <c r="G91" i="21"/>
  <c r="Z90" i="21"/>
  <c r="Y90" i="21"/>
  <c r="X90" i="21"/>
  <c r="U90" i="21"/>
  <c r="S90" i="21"/>
  <c r="R90" i="21"/>
  <c r="Q90" i="21"/>
  <c r="N90" i="21"/>
  <c r="L90" i="21"/>
  <c r="K90" i="21"/>
  <c r="J90" i="21"/>
  <c r="G90" i="21"/>
  <c r="Z89" i="21"/>
  <c r="Y89" i="21"/>
  <c r="X89" i="21"/>
  <c r="U89" i="21"/>
  <c r="S89" i="21"/>
  <c r="R89" i="21"/>
  <c r="Q89" i="21"/>
  <c r="N89" i="21"/>
  <c r="L89" i="21"/>
  <c r="K89" i="21"/>
  <c r="J89" i="21"/>
  <c r="G89" i="21"/>
  <c r="Z88" i="21"/>
  <c r="Y88" i="21"/>
  <c r="X88" i="21"/>
  <c r="U88" i="21"/>
  <c r="S88" i="21"/>
  <c r="R88" i="21"/>
  <c r="Q88" i="21"/>
  <c r="N88" i="21"/>
  <c r="L88" i="21"/>
  <c r="K88" i="21"/>
  <c r="J88" i="21"/>
  <c r="G88" i="21"/>
  <c r="Z87" i="21"/>
  <c r="Y87" i="21"/>
  <c r="X87" i="21"/>
  <c r="U87" i="21"/>
  <c r="S87" i="21"/>
  <c r="R87" i="21"/>
  <c r="Q87" i="21"/>
  <c r="N87" i="21"/>
  <c r="L87" i="21"/>
  <c r="K87" i="21"/>
  <c r="J87" i="21"/>
  <c r="G87" i="21"/>
  <c r="Z86" i="21"/>
  <c r="Y86" i="21"/>
  <c r="X86" i="21"/>
  <c r="U86" i="21"/>
  <c r="S86" i="21"/>
  <c r="R86" i="21"/>
  <c r="Q86" i="21"/>
  <c r="N86" i="21"/>
  <c r="L86" i="21"/>
  <c r="K86" i="21"/>
  <c r="J86" i="21"/>
  <c r="G86" i="21"/>
  <c r="Z85" i="21"/>
  <c r="Y85" i="21"/>
  <c r="X85" i="21"/>
  <c r="U85" i="21"/>
  <c r="S85" i="21"/>
  <c r="R85" i="21"/>
  <c r="Q85" i="21"/>
  <c r="N85" i="21"/>
  <c r="L85" i="21"/>
  <c r="K85" i="21"/>
  <c r="J85" i="21"/>
  <c r="G85" i="21"/>
  <c r="Z84" i="21"/>
  <c r="Y84" i="21"/>
  <c r="X84" i="21"/>
  <c r="U84" i="21"/>
  <c r="S84" i="21"/>
  <c r="R84" i="21"/>
  <c r="Q84" i="21"/>
  <c r="N84" i="21"/>
  <c r="L84" i="21"/>
  <c r="K84" i="21"/>
  <c r="J84" i="21"/>
  <c r="G84" i="21"/>
  <c r="Z83" i="21"/>
  <c r="Y83" i="21"/>
  <c r="X83" i="21"/>
  <c r="U83" i="21"/>
  <c r="S83" i="21"/>
  <c r="R83" i="21"/>
  <c r="Q83" i="21"/>
  <c r="N83" i="21"/>
  <c r="L83" i="21"/>
  <c r="K83" i="21"/>
  <c r="J83" i="21"/>
  <c r="G83" i="21"/>
  <c r="Z82" i="21"/>
  <c r="Y82" i="21"/>
  <c r="X82" i="21"/>
  <c r="U82" i="21"/>
  <c r="S82" i="21"/>
  <c r="R82" i="21"/>
  <c r="Q82" i="21"/>
  <c r="N82" i="21"/>
  <c r="L82" i="21"/>
  <c r="K82" i="21"/>
  <c r="J82" i="21"/>
  <c r="G82" i="21"/>
  <c r="Z81" i="21"/>
  <c r="Y81" i="21"/>
  <c r="X81" i="21"/>
  <c r="U81" i="21"/>
  <c r="S81" i="21"/>
  <c r="R81" i="21"/>
  <c r="Q81" i="21"/>
  <c r="N81" i="21"/>
  <c r="L81" i="21"/>
  <c r="K81" i="21"/>
  <c r="J81" i="21"/>
  <c r="G81" i="21"/>
  <c r="Z80" i="21"/>
  <c r="Y80" i="21"/>
  <c r="X80" i="21"/>
  <c r="U80" i="21"/>
  <c r="S80" i="21"/>
  <c r="R80" i="21"/>
  <c r="Q80" i="21"/>
  <c r="N80" i="21"/>
  <c r="L80" i="21"/>
  <c r="K80" i="21"/>
  <c r="J80" i="21"/>
  <c r="G80" i="21"/>
  <c r="Z79" i="21"/>
  <c r="Y79" i="21"/>
  <c r="X79" i="21"/>
  <c r="U79" i="21"/>
  <c r="S79" i="21"/>
  <c r="R79" i="21"/>
  <c r="Q79" i="21"/>
  <c r="N79" i="21"/>
  <c r="L79" i="21"/>
  <c r="K79" i="21"/>
  <c r="J79" i="21"/>
  <c r="G79" i="21"/>
  <c r="Z78" i="21"/>
  <c r="Y78" i="21"/>
  <c r="X78" i="21"/>
  <c r="U78" i="21"/>
  <c r="S78" i="21"/>
  <c r="R78" i="21"/>
  <c r="Q78" i="21"/>
  <c r="N78" i="21"/>
  <c r="L78" i="21"/>
  <c r="K78" i="21"/>
  <c r="J78" i="21"/>
  <c r="G78" i="21"/>
  <c r="Z77" i="21"/>
  <c r="Y77" i="21"/>
  <c r="X77" i="21"/>
  <c r="U77" i="21"/>
  <c r="S77" i="21"/>
  <c r="R77" i="21"/>
  <c r="Q77" i="21"/>
  <c r="N77" i="21"/>
  <c r="L77" i="21"/>
  <c r="K77" i="21"/>
  <c r="J77" i="21"/>
  <c r="G77" i="21"/>
  <c r="Z76" i="21"/>
  <c r="Y76" i="21"/>
  <c r="X76" i="21"/>
  <c r="U76" i="21"/>
  <c r="S76" i="21"/>
  <c r="R76" i="21"/>
  <c r="Q76" i="21"/>
  <c r="N76" i="21"/>
  <c r="L76" i="21"/>
  <c r="K76" i="21"/>
  <c r="J76" i="21"/>
  <c r="G76" i="21"/>
  <c r="Z75" i="21"/>
  <c r="Y75" i="21"/>
  <c r="X75" i="21"/>
  <c r="U75" i="21"/>
  <c r="S75" i="21"/>
  <c r="R75" i="21"/>
  <c r="Q75" i="21"/>
  <c r="N75" i="21"/>
  <c r="L75" i="21"/>
  <c r="K75" i="21"/>
  <c r="J75" i="21"/>
  <c r="G75" i="21"/>
  <c r="Z74" i="21"/>
  <c r="Y74" i="21"/>
  <c r="X74" i="21"/>
  <c r="U74" i="21"/>
  <c r="S74" i="21"/>
  <c r="R74" i="21"/>
  <c r="Q74" i="21"/>
  <c r="N74" i="21"/>
  <c r="L74" i="21"/>
  <c r="K74" i="21"/>
  <c r="J74" i="21"/>
  <c r="G74" i="21"/>
  <c r="Z71" i="21"/>
  <c r="Y71" i="21"/>
  <c r="X71" i="21"/>
  <c r="U71" i="21"/>
  <c r="S71" i="21"/>
  <c r="R71" i="21"/>
  <c r="Q71" i="21"/>
  <c r="N71" i="21"/>
  <c r="L71" i="21"/>
  <c r="K71" i="21"/>
  <c r="J71" i="21"/>
  <c r="G71" i="21"/>
  <c r="Z70" i="21"/>
  <c r="Y70" i="21"/>
  <c r="X70" i="21"/>
  <c r="U70" i="21"/>
  <c r="S70" i="21"/>
  <c r="R70" i="21"/>
  <c r="Q70" i="21"/>
  <c r="N70" i="21"/>
  <c r="L70" i="21"/>
  <c r="K70" i="21"/>
  <c r="J70" i="21"/>
  <c r="G70" i="21"/>
  <c r="Z69" i="21"/>
  <c r="Y69" i="21"/>
  <c r="X69" i="21"/>
  <c r="U69" i="21"/>
  <c r="S69" i="21"/>
  <c r="R69" i="21"/>
  <c r="Q69" i="21"/>
  <c r="N69" i="21"/>
  <c r="L69" i="21"/>
  <c r="K69" i="21"/>
  <c r="J69" i="21"/>
  <c r="G69" i="21"/>
  <c r="Z68" i="21"/>
  <c r="Y68" i="21"/>
  <c r="X68" i="21"/>
  <c r="U68" i="21"/>
  <c r="S68" i="21"/>
  <c r="R68" i="21"/>
  <c r="Q68" i="21"/>
  <c r="N68" i="21"/>
  <c r="L68" i="21"/>
  <c r="K68" i="21"/>
  <c r="J68" i="21"/>
  <c r="G68" i="21"/>
  <c r="Z67" i="21"/>
  <c r="Y67" i="21"/>
  <c r="X67" i="21"/>
  <c r="U67" i="21"/>
  <c r="S67" i="21"/>
  <c r="R67" i="21"/>
  <c r="Q67" i="21"/>
  <c r="N67" i="21"/>
  <c r="L67" i="21"/>
  <c r="K67" i="21"/>
  <c r="J67" i="21"/>
  <c r="G67" i="21"/>
  <c r="Z63" i="21"/>
  <c r="Y63" i="21"/>
  <c r="X63" i="21"/>
  <c r="U63" i="21"/>
  <c r="S63" i="21"/>
  <c r="R63" i="21"/>
  <c r="Q63" i="21"/>
  <c r="N63" i="21"/>
  <c r="L63" i="21"/>
  <c r="K63" i="21"/>
  <c r="J63" i="21"/>
  <c r="G63" i="21"/>
  <c r="Z62" i="21"/>
  <c r="Y62" i="21"/>
  <c r="X62" i="21"/>
  <c r="U62" i="21"/>
  <c r="S62" i="21"/>
  <c r="R62" i="21"/>
  <c r="Q62" i="21"/>
  <c r="N62" i="21"/>
  <c r="L62" i="21"/>
  <c r="K62" i="21"/>
  <c r="J62" i="21"/>
  <c r="G62" i="21"/>
  <c r="Z61" i="21"/>
  <c r="Y61" i="21"/>
  <c r="X61" i="21"/>
  <c r="U61" i="21"/>
  <c r="S61" i="21"/>
  <c r="R61" i="21"/>
  <c r="Q61" i="21"/>
  <c r="N61" i="21"/>
  <c r="L61" i="21"/>
  <c r="K61" i="21"/>
  <c r="J61" i="21"/>
  <c r="G61" i="21"/>
  <c r="Z60" i="21"/>
  <c r="Y60" i="21"/>
  <c r="X60" i="21"/>
  <c r="U60" i="21"/>
  <c r="S60" i="21"/>
  <c r="R60" i="21"/>
  <c r="Q60" i="21"/>
  <c r="N60" i="21"/>
  <c r="L60" i="21"/>
  <c r="K60" i="21"/>
  <c r="J60" i="21"/>
  <c r="G60" i="21"/>
  <c r="Z59" i="21"/>
  <c r="Y59" i="21"/>
  <c r="X59" i="21"/>
  <c r="U59" i="21"/>
  <c r="S59" i="21"/>
  <c r="R59" i="21"/>
  <c r="Q59" i="21"/>
  <c r="N59" i="21"/>
  <c r="L59" i="21"/>
  <c r="K59" i="21"/>
  <c r="J59" i="21"/>
  <c r="G59" i="21"/>
  <c r="Z58" i="21"/>
  <c r="Y58" i="21"/>
  <c r="X58" i="21"/>
  <c r="U58" i="21"/>
  <c r="S58" i="21"/>
  <c r="R58" i="21"/>
  <c r="Q58" i="21"/>
  <c r="N58" i="21"/>
  <c r="L58" i="21"/>
  <c r="K58" i="21"/>
  <c r="J58" i="21"/>
  <c r="G58" i="21"/>
  <c r="Z57" i="21"/>
  <c r="Y57" i="21"/>
  <c r="X57" i="21"/>
  <c r="U57" i="21"/>
  <c r="S57" i="21"/>
  <c r="R57" i="21"/>
  <c r="Q57" i="21"/>
  <c r="N57" i="21"/>
  <c r="L57" i="21"/>
  <c r="K57" i="21"/>
  <c r="J57" i="21"/>
  <c r="G57" i="21"/>
  <c r="Z56" i="21"/>
  <c r="Y56" i="21"/>
  <c r="X56" i="21"/>
  <c r="U56" i="21"/>
  <c r="S56" i="21"/>
  <c r="R56" i="21"/>
  <c r="Q56" i="21"/>
  <c r="N56" i="21"/>
  <c r="L56" i="21"/>
  <c r="K56" i="21"/>
  <c r="J56" i="21"/>
  <c r="G56" i="21"/>
  <c r="Z55" i="21"/>
  <c r="Y55" i="21"/>
  <c r="X55" i="21"/>
  <c r="U55" i="21"/>
  <c r="S55" i="21"/>
  <c r="R55" i="21"/>
  <c r="Q55" i="21"/>
  <c r="N55" i="21"/>
  <c r="L55" i="21"/>
  <c r="K55" i="21"/>
  <c r="J55" i="21"/>
  <c r="G55" i="21"/>
  <c r="Z54" i="21"/>
  <c r="Y54" i="21"/>
  <c r="X54" i="21"/>
  <c r="U54" i="21"/>
  <c r="S54" i="21"/>
  <c r="R54" i="21"/>
  <c r="Q54" i="21"/>
  <c r="N54" i="21"/>
  <c r="L54" i="21"/>
  <c r="K54" i="21"/>
  <c r="J54" i="21"/>
  <c r="G54" i="21"/>
  <c r="Z53" i="21"/>
  <c r="Y53" i="21"/>
  <c r="X53" i="21"/>
  <c r="U53" i="21"/>
  <c r="S53" i="21"/>
  <c r="R53" i="21"/>
  <c r="Q53" i="21"/>
  <c r="N53" i="21"/>
  <c r="L53" i="21"/>
  <c r="K53" i="21"/>
  <c r="J53" i="21"/>
  <c r="G53" i="21"/>
  <c r="Z52" i="21"/>
  <c r="Y52" i="21"/>
  <c r="X52" i="21"/>
  <c r="U52" i="21"/>
  <c r="S52" i="21"/>
  <c r="R52" i="21"/>
  <c r="Q52" i="21"/>
  <c r="N52" i="21"/>
  <c r="L52" i="21"/>
  <c r="K52" i="21"/>
  <c r="J52" i="21"/>
  <c r="G52" i="21"/>
  <c r="Z51" i="21"/>
  <c r="Y51" i="21"/>
  <c r="X51" i="21"/>
  <c r="U51" i="21"/>
  <c r="S51" i="21"/>
  <c r="R51" i="21"/>
  <c r="Q51" i="21"/>
  <c r="N51" i="21"/>
  <c r="L51" i="21"/>
  <c r="K51" i="21"/>
  <c r="J51" i="21"/>
  <c r="G51" i="21"/>
  <c r="Z50" i="21"/>
  <c r="Y50" i="21"/>
  <c r="X50" i="21"/>
  <c r="U50" i="21"/>
  <c r="S50" i="21"/>
  <c r="R50" i="21"/>
  <c r="Q50" i="21"/>
  <c r="N50" i="21"/>
  <c r="L50" i="21"/>
  <c r="K50" i="21"/>
  <c r="J50" i="21"/>
  <c r="G50" i="21"/>
  <c r="Z49" i="21"/>
  <c r="Y49" i="21"/>
  <c r="X49" i="21"/>
  <c r="U49" i="21"/>
  <c r="S49" i="21"/>
  <c r="R49" i="21"/>
  <c r="Q49" i="21"/>
  <c r="N49" i="21"/>
  <c r="L49" i="21"/>
  <c r="K49" i="21"/>
  <c r="J49" i="21"/>
  <c r="G49" i="21"/>
  <c r="Z48" i="21"/>
  <c r="Y48" i="21"/>
  <c r="X48" i="21"/>
  <c r="U48" i="21"/>
  <c r="S48" i="21"/>
  <c r="R48" i="21"/>
  <c r="Q48" i="21"/>
  <c r="N48" i="21"/>
  <c r="L48" i="21"/>
  <c r="K48" i="21"/>
  <c r="J48" i="21"/>
  <c r="G48" i="21"/>
  <c r="Z47" i="21"/>
  <c r="Y47" i="21"/>
  <c r="X47" i="21"/>
  <c r="U47" i="21"/>
  <c r="S47" i="21"/>
  <c r="R47" i="21"/>
  <c r="Q47" i="21"/>
  <c r="N47" i="21"/>
  <c r="L47" i="21"/>
  <c r="K47" i="21"/>
  <c r="J47" i="21"/>
  <c r="G47" i="21"/>
  <c r="Z46" i="21"/>
  <c r="Y46" i="21"/>
  <c r="X46" i="21"/>
  <c r="U46" i="21"/>
  <c r="S46" i="21"/>
  <c r="R46" i="21"/>
  <c r="Q46" i="21"/>
  <c r="N46" i="21"/>
  <c r="L46" i="21"/>
  <c r="K46" i="21"/>
  <c r="J46" i="21"/>
  <c r="G46" i="21"/>
  <c r="Z45" i="21"/>
  <c r="Y45" i="21"/>
  <c r="X45" i="21"/>
  <c r="U45" i="21"/>
  <c r="S45" i="21"/>
  <c r="R45" i="21"/>
  <c r="Q45" i="21"/>
  <c r="N45" i="21"/>
  <c r="L45" i="21"/>
  <c r="K45" i="21"/>
  <c r="J45" i="21"/>
  <c r="G45" i="21"/>
  <c r="Z44" i="21"/>
  <c r="Y44" i="21"/>
  <c r="X44" i="21"/>
  <c r="U44" i="21"/>
  <c r="S44" i="21"/>
  <c r="R44" i="21"/>
  <c r="Q44" i="21"/>
  <c r="N44" i="21"/>
  <c r="L44" i="21"/>
  <c r="K44" i="21"/>
  <c r="J44" i="21"/>
  <c r="G44" i="21"/>
  <c r="Z43" i="21"/>
  <c r="Y43" i="21"/>
  <c r="X43" i="21"/>
  <c r="U43" i="21"/>
  <c r="S43" i="21"/>
  <c r="R43" i="21"/>
  <c r="Q43" i="21"/>
  <c r="N43" i="21"/>
  <c r="L43" i="21"/>
  <c r="K43" i="21"/>
  <c r="J43" i="21"/>
  <c r="G43" i="21"/>
  <c r="Z42" i="21"/>
  <c r="Y42" i="21"/>
  <c r="X42" i="21"/>
  <c r="U42" i="21"/>
  <c r="S42" i="21"/>
  <c r="R42" i="21"/>
  <c r="Q42" i="21"/>
  <c r="N42" i="21"/>
  <c r="L42" i="21"/>
  <c r="K42" i="21"/>
  <c r="J42" i="21"/>
  <c r="G42" i="21"/>
  <c r="Z40" i="21"/>
  <c r="Y40" i="21"/>
  <c r="X40" i="21"/>
  <c r="U40" i="21"/>
  <c r="S40" i="21"/>
  <c r="Q40" i="21"/>
  <c r="N40" i="21"/>
  <c r="L40" i="21"/>
  <c r="J40" i="21"/>
  <c r="G40" i="21"/>
  <c r="Z39" i="21"/>
  <c r="Y39" i="21"/>
  <c r="X39" i="21"/>
  <c r="U39" i="21"/>
  <c r="S39" i="21"/>
  <c r="R39" i="21"/>
  <c r="Q39" i="21"/>
  <c r="N39" i="21"/>
  <c r="L39" i="21"/>
  <c r="K39" i="21"/>
  <c r="J39" i="21"/>
  <c r="G39" i="21"/>
  <c r="Z103" i="21"/>
  <c r="Y103" i="21"/>
  <c r="X103" i="21"/>
  <c r="U103" i="21"/>
  <c r="S103" i="21"/>
  <c r="R103" i="21"/>
  <c r="Q103" i="21"/>
  <c r="N103" i="21"/>
  <c r="L103" i="21"/>
  <c r="K103" i="21"/>
  <c r="J103" i="21"/>
  <c r="G103" i="21"/>
  <c r="Z94" i="21"/>
  <c r="Y94" i="21"/>
  <c r="X94" i="21"/>
  <c r="U94" i="21"/>
  <c r="S94" i="21"/>
  <c r="R94" i="21"/>
  <c r="Q94" i="21"/>
  <c r="N94" i="21"/>
  <c r="L94" i="21"/>
  <c r="K94" i="21"/>
  <c r="J94" i="21"/>
  <c r="G94" i="21"/>
  <c r="Z64" i="21"/>
  <c r="Y64" i="21"/>
  <c r="X64" i="21"/>
  <c r="U64" i="21"/>
  <c r="S64" i="21"/>
  <c r="R64" i="21"/>
  <c r="Q64" i="21"/>
  <c r="N64" i="21"/>
  <c r="L64" i="21"/>
  <c r="K64" i="21"/>
  <c r="J64" i="21"/>
  <c r="G64" i="21"/>
  <c r="Z11" i="21"/>
  <c r="N12" i="21"/>
  <c r="Q12" i="21"/>
  <c r="R12" i="21"/>
  <c r="S12" i="21"/>
  <c r="N13" i="21"/>
  <c r="Q13" i="21"/>
  <c r="R13" i="21"/>
  <c r="S13" i="21"/>
  <c r="N15" i="21"/>
  <c r="Q15" i="21"/>
  <c r="R15" i="21"/>
  <c r="S15" i="21"/>
  <c r="N16" i="21"/>
  <c r="Q16" i="21"/>
  <c r="R16" i="21"/>
  <c r="S16" i="21"/>
  <c r="N17" i="21"/>
  <c r="Q17" i="21"/>
  <c r="R17" i="21"/>
  <c r="S17" i="21"/>
  <c r="N18" i="21"/>
  <c r="Q18" i="21"/>
  <c r="R18" i="21"/>
  <c r="S18" i="21"/>
  <c r="N19" i="21"/>
  <c r="Q19" i="21"/>
  <c r="R19" i="21"/>
  <c r="S19" i="21"/>
  <c r="N20" i="21"/>
  <c r="Q20" i="21"/>
  <c r="R20" i="21"/>
  <c r="S20" i="21"/>
  <c r="N21" i="21"/>
  <c r="Q21" i="21"/>
  <c r="R21" i="21"/>
  <c r="S21" i="21"/>
  <c r="N22" i="21"/>
  <c r="Q22" i="21"/>
  <c r="R22" i="21"/>
  <c r="S22" i="21"/>
  <c r="N23" i="21"/>
  <c r="Q23" i="21"/>
  <c r="R23" i="21"/>
  <c r="S23" i="21"/>
  <c r="N24" i="21"/>
  <c r="Q24" i="21"/>
  <c r="R24" i="21"/>
  <c r="S24" i="21"/>
  <c r="N25" i="21"/>
  <c r="Q25" i="21"/>
  <c r="R25" i="21"/>
  <c r="S25" i="21"/>
  <c r="N26" i="21"/>
  <c r="Q26" i="21"/>
  <c r="R26" i="21"/>
  <c r="S26" i="21"/>
  <c r="N27" i="21"/>
  <c r="Q27" i="21"/>
  <c r="R27" i="21"/>
  <c r="S27" i="21"/>
  <c r="N28" i="21"/>
  <c r="Q28" i="21"/>
  <c r="R28" i="21"/>
  <c r="S28" i="21"/>
  <c r="N29" i="21"/>
  <c r="Q29" i="21"/>
  <c r="R29" i="21"/>
  <c r="S29" i="21"/>
  <c r="N30" i="21"/>
  <c r="Q30" i="21"/>
  <c r="R30" i="21"/>
  <c r="S30" i="21"/>
  <c r="N31" i="21"/>
  <c r="Q31" i="21"/>
  <c r="R31" i="21"/>
  <c r="S31" i="21"/>
  <c r="N32" i="21"/>
  <c r="Q32" i="21"/>
  <c r="R32" i="21"/>
  <c r="S32" i="21"/>
  <c r="N33" i="21"/>
  <c r="Q33" i="21"/>
  <c r="R33" i="21"/>
  <c r="S33" i="21"/>
  <c r="N34" i="21"/>
  <c r="Q34" i="21"/>
  <c r="R34" i="21"/>
  <c r="S34" i="21"/>
  <c r="N35" i="21"/>
  <c r="Q35" i="21"/>
  <c r="R35" i="21"/>
  <c r="S35" i="21"/>
  <c r="N36" i="21"/>
  <c r="Q36" i="21"/>
  <c r="R36" i="21"/>
  <c r="S36" i="21"/>
  <c r="Y11" i="21"/>
  <c r="X11" i="21"/>
  <c r="U11" i="21"/>
  <c r="S11" i="21"/>
  <c r="R11" i="21"/>
  <c r="Q11" i="21"/>
  <c r="N11" i="21"/>
  <c r="J12" i="21"/>
  <c r="K12" i="21"/>
  <c r="L12" i="21"/>
  <c r="J13" i="21"/>
  <c r="K13" i="21"/>
  <c r="L13" i="21"/>
  <c r="J15" i="21"/>
  <c r="K15" i="21"/>
  <c r="L15" i="21"/>
  <c r="J16" i="21"/>
  <c r="K16" i="21"/>
  <c r="L16" i="21"/>
  <c r="J17" i="21"/>
  <c r="K17" i="21"/>
  <c r="L17" i="21"/>
  <c r="J18" i="21"/>
  <c r="K18" i="21"/>
  <c r="L18" i="21"/>
  <c r="J19" i="21"/>
  <c r="K19" i="21"/>
  <c r="L19" i="21"/>
  <c r="J20" i="21"/>
  <c r="K20" i="21"/>
  <c r="L20" i="21"/>
  <c r="J21" i="21"/>
  <c r="K21" i="21"/>
  <c r="L21" i="21"/>
  <c r="J22" i="21"/>
  <c r="K22" i="21"/>
  <c r="L22" i="21"/>
  <c r="J23" i="21"/>
  <c r="K23" i="21"/>
  <c r="L23" i="21"/>
  <c r="J24" i="21"/>
  <c r="K24" i="21"/>
  <c r="L24" i="21"/>
  <c r="J25" i="21"/>
  <c r="K25" i="21"/>
  <c r="L25" i="21"/>
  <c r="J26" i="21"/>
  <c r="K26" i="21"/>
  <c r="L26" i="21"/>
  <c r="J27" i="21"/>
  <c r="K27" i="21"/>
  <c r="L27" i="21"/>
  <c r="J28" i="21"/>
  <c r="K28" i="21"/>
  <c r="L28" i="21"/>
  <c r="J29" i="21"/>
  <c r="K29" i="21"/>
  <c r="L29" i="21"/>
  <c r="J30" i="21"/>
  <c r="K30" i="21"/>
  <c r="L30" i="21"/>
  <c r="J31" i="21"/>
  <c r="K31" i="21"/>
  <c r="L31" i="21"/>
  <c r="J32" i="21"/>
  <c r="K32" i="21"/>
  <c r="L32" i="21"/>
  <c r="J33" i="21"/>
  <c r="K33" i="21"/>
  <c r="L33" i="21"/>
  <c r="J34" i="21"/>
  <c r="K34" i="21"/>
  <c r="L34" i="21"/>
  <c r="J35" i="21"/>
  <c r="K35" i="21"/>
  <c r="L35" i="21"/>
  <c r="J36" i="21"/>
  <c r="K36" i="21"/>
  <c r="L36" i="21"/>
  <c r="U36" i="21"/>
  <c r="U35" i="21"/>
  <c r="U34" i="21"/>
  <c r="U33" i="21"/>
  <c r="U32" i="21"/>
  <c r="U31" i="21"/>
  <c r="U30" i="21"/>
  <c r="U29" i="21"/>
  <c r="U28" i="21"/>
  <c r="U27" i="21"/>
  <c r="U26" i="21"/>
  <c r="U25" i="21"/>
  <c r="U24" i="21"/>
  <c r="U23" i="21"/>
  <c r="U22" i="21"/>
  <c r="U21" i="21"/>
  <c r="U20" i="21"/>
  <c r="U19" i="21"/>
  <c r="U18" i="21"/>
  <c r="U17" i="21"/>
  <c r="U16" i="21"/>
  <c r="U15" i="21"/>
  <c r="U13" i="21"/>
  <c r="U12" i="21"/>
  <c r="G12" i="21"/>
  <c r="G13" i="21"/>
  <c r="G15" i="21"/>
  <c r="G16" i="21"/>
  <c r="G17" i="21"/>
  <c r="G18" i="21"/>
  <c r="G19" i="21"/>
  <c r="G20" i="21"/>
  <c r="G21" i="21"/>
  <c r="G22" i="21"/>
  <c r="G23" i="21"/>
  <c r="G24" i="21"/>
  <c r="G25" i="21"/>
  <c r="G26" i="21"/>
  <c r="G27" i="21"/>
  <c r="G28" i="21"/>
  <c r="G29" i="21"/>
  <c r="G30" i="21"/>
  <c r="G31" i="21"/>
  <c r="G32" i="21"/>
  <c r="G33" i="21"/>
  <c r="G34" i="21"/>
  <c r="G35" i="21"/>
  <c r="G36" i="21"/>
  <c r="G11" i="21"/>
  <c r="AB225" i="21"/>
  <c r="X12" i="21"/>
  <c r="Y12" i="21"/>
  <c r="Z12" i="21"/>
  <c r="X13" i="21"/>
  <c r="Y13" i="21"/>
  <c r="Z13" i="21"/>
  <c r="X15" i="21"/>
  <c r="Y15" i="21"/>
  <c r="Z15" i="21"/>
  <c r="X16" i="21"/>
  <c r="Y16" i="21"/>
  <c r="Z16" i="21"/>
  <c r="X17" i="21"/>
  <c r="Y17" i="21"/>
  <c r="Z17" i="21"/>
  <c r="X18" i="21"/>
  <c r="Y18" i="21"/>
  <c r="Z18" i="21"/>
  <c r="X19" i="21"/>
  <c r="Y19" i="21"/>
  <c r="Z19" i="21"/>
  <c r="X20" i="21"/>
  <c r="Y20" i="21"/>
  <c r="Z20" i="21"/>
  <c r="X21" i="21"/>
  <c r="Y21" i="21"/>
  <c r="Z21" i="21"/>
  <c r="X22" i="21"/>
  <c r="Y22" i="21"/>
  <c r="Z22" i="21"/>
  <c r="X23" i="21"/>
  <c r="Y23" i="21"/>
  <c r="Z23" i="21"/>
  <c r="X24" i="21"/>
  <c r="Y24" i="21"/>
  <c r="Z24" i="21"/>
  <c r="X25" i="21"/>
  <c r="Y25" i="21"/>
  <c r="Z25" i="21"/>
  <c r="X26" i="21"/>
  <c r="Y26" i="21"/>
  <c r="Z26" i="21"/>
  <c r="X27" i="21"/>
  <c r="Y27" i="21"/>
  <c r="Z27" i="21"/>
  <c r="X28" i="21"/>
  <c r="Y28" i="21"/>
  <c r="Z28" i="21"/>
  <c r="X29" i="21"/>
  <c r="Y29" i="21"/>
  <c r="Z29" i="21"/>
  <c r="X30" i="21"/>
  <c r="Y30" i="21"/>
  <c r="Z30" i="21"/>
  <c r="X31" i="21"/>
  <c r="Y31" i="21"/>
  <c r="Z31" i="21"/>
  <c r="X32" i="21"/>
  <c r="Y32" i="21"/>
  <c r="Z32" i="21"/>
  <c r="X33" i="21"/>
  <c r="Y33" i="21"/>
  <c r="Z33" i="21"/>
  <c r="X34" i="21"/>
  <c r="Y34" i="21"/>
  <c r="Z34" i="21"/>
  <c r="X35" i="21"/>
  <c r="Y35" i="21"/>
  <c r="Z35" i="21"/>
  <c r="X36" i="21"/>
  <c r="Y36" i="21"/>
  <c r="Z36" i="21"/>
  <c r="AF10" i="21"/>
  <c r="Q231" i="13" l="1"/>
  <c r="Q214" i="13"/>
  <c r="Q192" i="13"/>
  <c r="Q189" i="13"/>
  <c r="Q187" i="13"/>
  <c r="Q183" i="13"/>
  <c r="Q179" i="13"/>
  <c r="Q175" i="13"/>
  <c r="Q171" i="13"/>
  <c r="Q169" i="13"/>
  <c r="Q164" i="13"/>
  <c r="Q162" i="13"/>
  <c r="Q160" i="13"/>
  <c r="Q155" i="13"/>
  <c r="Q148" i="13"/>
  <c r="Q144" i="13"/>
  <c r="Q138" i="13"/>
  <c r="Q134" i="13"/>
  <c r="Q130" i="13"/>
  <c r="Q126" i="13"/>
  <c r="Q121" i="13"/>
  <c r="Q117" i="13"/>
  <c r="Q115" i="13"/>
  <c r="Q113" i="13"/>
  <c r="Q103" i="13"/>
  <c r="Q100" i="13"/>
  <c r="Q93" i="13"/>
  <c r="Q90" i="13"/>
  <c r="Q86" i="13"/>
  <c r="Q83" i="13"/>
  <c r="Q75" i="13"/>
  <c r="Q69" i="13"/>
  <c r="Q63" i="13"/>
  <c r="Q59" i="13"/>
  <c r="Q56" i="13"/>
  <c r="Q51" i="13"/>
  <c r="Q46" i="13"/>
  <c r="Q39" i="13"/>
  <c r="Q30" i="13"/>
  <c r="Q26" i="13"/>
  <c r="Q19" i="13"/>
  <c r="Q16" i="13"/>
  <c r="Q10" i="13"/>
  <c r="L17" i="3"/>
  <c r="R9" i="13" s="1"/>
  <c r="O2" i="11"/>
  <c r="AB38" i="11"/>
  <c r="AB39" i="11"/>
  <c r="AB41" i="11"/>
  <c r="AB42" i="11"/>
  <c r="AB43" i="11"/>
  <c r="AB45" i="11"/>
  <c r="AB46" i="11"/>
  <c r="AB47" i="11"/>
  <c r="AB48" i="11"/>
  <c r="AB49" i="11"/>
  <c r="AB50" i="11"/>
  <c r="AB51" i="11"/>
  <c r="AB52" i="11"/>
  <c r="AB53" i="11"/>
  <c r="AB54" i="11"/>
  <c r="AB55" i="11"/>
  <c r="AB56" i="11"/>
  <c r="AB57" i="11"/>
  <c r="AB58" i="11"/>
  <c r="Q152" i="13" l="1"/>
  <c r="Q110" i="13"/>
  <c r="Q123" i="13"/>
  <c r="Q36" i="13"/>
  <c r="Q97" i="13"/>
  <c r="Q66" i="13"/>
  <c r="Q166" i="13"/>
  <c r="Q197" i="13"/>
  <c r="E218" i="13"/>
  <c r="BQ252" i="13"/>
  <c r="AF167" i="5"/>
  <c r="AE167" i="5"/>
  <c r="AD167" i="5"/>
  <c r="AF155" i="5"/>
  <c r="AE155" i="5"/>
  <c r="AD155" i="5"/>
  <c r="C13" i="11"/>
  <c r="B49" i="11" s="1"/>
  <c r="U7" i="5"/>
  <c r="N7" i="5"/>
  <c r="BQ32" i="13"/>
  <c r="BR32" i="13" s="1"/>
  <c r="BQ33" i="13"/>
  <c r="BT33" i="13" s="1"/>
  <c r="BQ34" i="13"/>
  <c r="BR34" i="13" s="1"/>
  <c r="BQ35" i="13"/>
  <c r="BR35" i="13" s="1"/>
  <c r="BQ39" i="13"/>
  <c r="BR39" i="13" s="1"/>
  <c r="BQ40" i="13"/>
  <c r="BT40" i="13" s="1"/>
  <c r="BQ41" i="13"/>
  <c r="BR41" i="13" s="1"/>
  <c r="BQ42" i="13"/>
  <c r="BR42" i="13" s="1"/>
  <c r="BQ43" i="13"/>
  <c r="BR43" i="13" s="1"/>
  <c r="BQ44" i="13"/>
  <c r="BS44" i="13" s="1"/>
  <c r="BQ45" i="13"/>
  <c r="BR45" i="13" s="1"/>
  <c r="BQ46" i="13"/>
  <c r="BR46" i="13" s="1"/>
  <c r="BQ47" i="13"/>
  <c r="BR47" i="13" s="1"/>
  <c r="BQ48" i="13"/>
  <c r="BT48" i="13" s="1"/>
  <c r="BQ49" i="13"/>
  <c r="BQ50" i="13"/>
  <c r="BR50" i="13" s="1"/>
  <c r="BQ51" i="13"/>
  <c r="BR51" i="13" s="1"/>
  <c r="BQ52" i="13"/>
  <c r="BR52" i="13" s="1"/>
  <c r="BQ53" i="13"/>
  <c r="BT53" i="13" s="1"/>
  <c r="BQ54" i="13"/>
  <c r="BR54" i="13" s="1"/>
  <c r="BQ55" i="13"/>
  <c r="BR55" i="13" s="1"/>
  <c r="BQ56" i="13"/>
  <c r="BR56" i="13" s="1"/>
  <c r="BQ57" i="13"/>
  <c r="BT57" i="13" s="1"/>
  <c r="BQ58" i="13"/>
  <c r="BR58" i="13" s="1"/>
  <c r="BQ59" i="13"/>
  <c r="BR59" i="13" s="1"/>
  <c r="BQ60" i="13"/>
  <c r="BR60" i="13" s="1"/>
  <c r="BQ61" i="13"/>
  <c r="BT61" i="13" s="1"/>
  <c r="BQ62" i="13"/>
  <c r="BR62" i="13" s="1"/>
  <c r="BQ63" i="13"/>
  <c r="BR63" i="13" s="1"/>
  <c r="BQ64" i="13"/>
  <c r="BR64" i="13" s="1"/>
  <c r="BQ65" i="13"/>
  <c r="BT65" i="13" s="1"/>
  <c r="BQ69" i="13"/>
  <c r="BR69" i="13" s="1"/>
  <c r="BQ70" i="13"/>
  <c r="BR70" i="13" s="1"/>
  <c r="BQ71" i="13"/>
  <c r="BR71" i="13" s="1"/>
  <c r="BQ72" i="13"/>
  <c r="BQ73" i="13"/>
  <c r="BQ74" i="13"/>
  <c r="BR74" i="13" s="1"/>
  <c r="BQ75" i="13"/>
  <c r="BR75" i="13" s="1"/>
  <c r="BQ76" i="13"/>
  <c r="BR76" i="13" s="1"/>
  <c r="BQ77" i="13"/>
  <c r="BT77" i="13" s="1"/>
  <c r="BQ78" i="13"/>
  <c r="BR78" i="13" s="1"/>
  <c r="BQ79" i="13"/>
  <c r="BR79" i="13" s="1"/>
  <c r="BQ80" i="13"/>
  <c r="BR80" i="13" s="1"/>
  <c r="BQ81" i="13"/>
  <c r="BS81" i="13" s="1"/>
  <c r="BQ82" i="13"/>
  <c r="BR82" i="13" s="1"/>
  <c r="BQ83" i="13"/>
  <c r="BR83" i="13" s="1"/>
  <c r="BQ84" i="13"/>
  <c r="BR84" i="13" s="1"/>
  <c r="BQ85" i="13"/>
  <c r="BR85" i="13" s="1"/>
  <c r="BQ86" i="13"/>
  <c r="BR86" i="13" s="1"/>
  <c r="BQ87" i="13"/>
  <c r="BR87" i="13" s="1"/>
  <c r="BQ88" i="13"/>
  <c r="BR88" i="13" s="1"/>
  <c r="BQ89" i="13"/>
  <c r="BT89" i="13" s="1"/>
  <c r="BQ90" i="13"/>
  <c r="BR90" i="13" s="1"/>
  <c r="BQ91" i="13"/>
  <c r="BR91" i="13" s="1"/>
  <c r="BQ92" i="13"/>
  <c r="BR92" i="13" s="1"/>
  <c r="BQ93" i="13"/>
  <c r="BR93" i="13" s="1"/>
  <c r="BQ94" i="13"/>
  <c r="BR94" i="13" s="1"/>
  <c r="BQ95" i="13"/>
  <c r="BR95" i="13" s="1"/>
  <c r="BQ96" i="13"/>
  <c r="BR96" i="13" s="1"/>
  <c r="BQ100" i="13"/>
  <c r="BR100" i="13" s="1"/>
  <c r="BQ101" i="13"/>
  <c r="BQ102" i="13"/>
  <c r="BQ103" i="13"/>
  <c r="BR103" i="13" s="1"/>
  <c r="BQ104" i="13"/>
  <c r="BT104" i="13" s="1"/>
  <c r="BQ105" i="13"/>
  <c r="BR105" i="13" s="1"/>
  <c r="BQ106" i="13"/>
  <c r="BR106" i="13" s="1"/>
  <c r="BQ107" i="13"/>
  <c r="BR107" i="13" s="1"/>
  <c r="BQ108" i="13"/>
  <c r="BR108" i="13" s="1"/>
  <c r="BQ109" i="13"/>
  <c r="BR109" i="13" s="1"/>
  <c r="BQ113" i="13"/>
  <c r="BR113" i="13" s="1"/>
  <c r="BQ114" i="13"/>
  <c r="BQ115" i="13"/>
  <c r="BR115" i="13" s="1"/>
  <c r="BQ116" i="13"/>
  <c r="BT116" i="13" s="1"/>
  <c r="BQ117" i="13"/>
  <c r="BR117" i="13" s="1"/>
  <c r="BQ118" i="13"/>
  <c r="BR118" i="13" s="1"/>
  <c r="BQ119" i="13"/>
  <c r="BR119" i="13" s="1"/>
  <c r="BQ120" i="13"/>
  <c r="BT120" i="13" s="1"/>
  <c r="BQ121" i="13"/>
  <c r="BR121" i="13" s="1"/>
  <c r="BQ122" i="13"/>
  <c r="BR122" i="13" s="1"/>
  <c r="BQ126" i="13"/>
  <c r="BR126" i="13" s="1"/>
  <c r="BQ127" i="13"/>
  <c r="BS127" i="13" s="1"/>
  <c r="BQ128" i="13"/>
  <c r="BQ129" i="13"/>
  <c r="BQ130" i="13"/>
  <c r="BR130" i="13" s="1"/>
  <c r="BQ131" i="13"/>
  <c r="BT131" i="13" s="1"/>
  <c r="BQ132" i="13"/>
  <c r="BR132" i="13" s="1"/>
  <c r="BQ133" i="13"/>
  <c r="BR133" i="13" s="1"/>
  <c r="BQ134" i="13"/>
  <c r="BR134" i="13" s="1"/>
  <c r="BQ135" i="13"/>
  <c r="BT135" i="13" s="1"/>
  <c r="BQ136" i="13"/>
  <c r="BR136" i="13" s="1"/>
  <c r="BQ137" i="13"/>
  <c r="BR137" i="13" s="1"/>
  <c r="BQ138" i="13"/>
  <c r="BR138" i="13" s="1"/>
  <c r="BQ139" i="13"/>
  <c r="BR139" i="13" s="1"/>
  <c r="BQ140" i="13"/>
  <c r="BR140" i="13" s="1"/>
  <c r="BQ141" i="13"/>
  <c r="BR141" i="13" s="1"/>
  <c r="BQ142" i="13"/>
  <c r="BR142" i="13" s="1"/>
  <c r="BQ143" i="13"/>
  <c r="BT143" i="13" s="1"/>
  <c r="BQ144" i="13"/>
  <c r="BR144" i="13" s="1"/>
  <c r="BQ145" i="13"/>
  <c r="BQ146" i="13"/>
  <c r="BQ147" i="13"/>
  <c r="BQ148" i="13"/>
  <c r="BR148" i="13" s="1"/>
  <c r="BQ150" i="13"/>
  <c r="BQ151" i="13"/>
  <c r="BQ155" i="13"/>
  <c r="BR155" i="13" s="1"/>
  <c r="BQ156" i="13"/>
  <c r="BQ157" i="13"/>
  <c r="BT157" i="13" s="1"/>
  <c r="BQ158" i="13"/>
  <c r="BQ159" i="13"/>
  <c r="BR159" i="13" s="1"/>
  <c r="BQ160" i="13"/>
  <c r="BR160" i="13" s="1"/>
  <c r="BQ161" i="13"/>
  <c r="BR161" i="13" s="1"/>
  <c r="BQ162" i="13"/>
  <c r="BR162" i="13" s="1"/>
  <c r="BQ163" i="13"/>
  <c r="BR163" i="13" s="1"/>
  <c r="BQ164" i="13"/>
  <c r="BT164" i="13" s="1"/>
  <c r="BQ165" i="13"/>
  <c r="BR165" i="13" s="1"/>
  <c r="BQ169" i="13"/>
  <c r="BR169" i="13" s="1"/>
  <c r="BQ170" i="13"/>
  <c r="BQ171" i="13"/>
  <c r="BT171" i="13" s="1"/>
  <c r="BQ172" i="13"/>
  <c r="BR172" i="13" s="1"/>
  <c r="BQ173" i="13"/>
  <c r="BQ175" i="13"/>
  <c r="BR175" i="13" s="1"/>
  <c r="BQ176" i="13"/>
  <c r="BT176" i="13" s="1"/>
  <c r="BQ177" i="13"/>
  <c r="BQ178" i="13"/>
  <c r="BQ179" i="13"/>
  <c r="BT179" i="13" s="1"/>
  <c r="BQ180" i="13"/>
  <c r="BR180" i="13" s="1"/>
  <c r="BQ181" i="13"/>
  <c r="BR181" i="13" s="1"/>
  <c r="BQ182" i="13"/>
  <c r="BR182" i="13" s="1"/>
  <c r="BQ183" i="13"/>
  <c r="BT183" i="13" s="1"/>
  <c r="BQ184" i="13"/>
  <c r="BR184" i="13" s="1"/>
  <c r="BQ185" i="13"/>
  <c r="BR185" i="13" s="1"/>
  <c r="BQ186" i="13"/>
  <c r="BR186" i="13" s="1"/>
  <c r="BQ187" i="13"/>
  <c r="BT187" i="13" s="1"/>
  <c r="BQ188" i="13"/>
  <c r="BQ189" i="13"/>
  <c r="BR189" i="13" s="1"/>
  <c r="BQ190" i="13"/>
  <c r="BR190" i="13" s="1"/>
  <c r="BQ191" i="13"/>
  <c r="BR191" i="13" s="1"/>
  <c r="BQ192" i="13"/>
  <c r="BT192" i="13" s="1"/>
  <c r="BQ193" i="13"/>
  <c r="BR193" i="13" s="1"/>
  <c r="BQ194" i="13"/>
  <c r="BR194" i="13" s="1"/>
  <c r="BQ195" i="13"/>
  <c r="BR195" i="13" s="1"/>
  <c r="BQ196" i="13"/>
  <c r="BT196" i="13" s="1"/>
  <c r="BQ200" i="13"/>
  <c r="BR200" i="13" s="1"/>
  <c r="BQ201" i="13"/>
  <c r="BR201" i="13" s="1"/>
  <c r="BQ202" i="13"/>
  <c r="BS202" i="13" s="1"/>
  <c r="BQ203" i="13"/>
  <c r="BS203" i="13" s="1"/>
  <c r="BQ204" i="13"/>
  <c r="BR204" i="13" s="1"/>
  <c r="BQ205" i="13"/>
  <c r="BR205" i="13" s="1"/>
  <c r="BQ206" i="13"/>
  <c r="BR206" i="13" s="1"/>
  <c r="BQ207" i="13"/>
  <c r="BT207" i="13" s="1"/>
  <c r="BQ208" i="13"/>
  <c r="BR208" i="13" s="1"/>
  <c r="BQ209" i="13"/>
  <c r="BR209" i="13" s="1"/>
  <c r="BQ210" i="13"/>
  <c r="BS210" i="13" s="1"/>
  <c r="BQ211" i="13"/>
  <c r="BT211" i="13" s="1"/>
  <c r="BQ212" i="13"/>
  <c r="BR212" i="13" s="1"/>
  <c r="BQ213" i="13"/>
  <c r="BR213" i="13" s="1"/>
  <c r="BQ217" i="13"/>
  <c r="BR217" i="13" s="1"/>
  <c r="BQ218" i="13"/>
  <c r="BS218" i="13" s="1"/>
  <c r="BQ219" i="13"/>
  <c r="BR219" i="13" s="1"/>
  <c r="BQ220" i="13"/>
  <c r="BR220" i="13" s="1"/>
  <c r="BQ221" i="13"/>
  <c r="BS221" i="13" s="1"/>
  <c r="BQ222" i="13"/>
  <c r="BT222" i="13" s="1"/>
  <c r="BQ223" i="13"/>
  <c r="BR223" i="13" s="1"/>
  <c r="BQ224" i="13"/>
  <c r="BR224" i="13" s="1"/>
  <c r="BQ225" i="13"/>
  <c r="BQ226" i="13"/>
  <c r="BR226" i="13" s="1"/>
  <c r="BQ227" i="13"/>
  <c r="BT227" i="13" s="1"/>
  <c r="BQ228" i="13"/>
  <c r="BR228" i="13" s="1"/>
  <c r="BQ229" i="13"/>
  <c r="BR229" i="13" s="1"/>
  <c r="BQ230" i="13"/>
  <c r="BT230" i="13" s="1"/>
  <c r="BQ234" i="13"/>
  <c r="BS234" i="13" s="1"/>
  <c r="BQ236" i="13"/>
  <c r="BR236" i="13" s="1"/>
  <c r="BQ237" i="13"/>
  <c r="BR237" i="13" s="1"/>
  <c r="BQ238" i="13"/>
  <c r="BQ239" i="13"/>
  <c r="BQ240" i="13"/>
  <c r="BR240" i="13" s="1"/>
  <c r="BQ241" i="13"/>
  <c r="BR241" i="13" s="1"/>
  <c r="BQ243" i="13"/>
  <c r="BT243" i="13" s="1"/>
  <c r="BQ244" i="13"/>
  <c r="BR244" i="13" s="1"/>
  <c r="BQ245" i="13"/>
  <c r="BR245" i="13" s="1"/>
  <c r="BQ246" i="13"/>
  <c r="BS246" i="13" s="1"/>
  <c r="BQ247" i="13"/>
  <c r="BS247" i="13" s="1"/>
  <c r="BQ248" i="13"/>
  <c r="BR248" i="13" s="1"/>
  <c r="BQ249" i="13"/>
  <c r="BR249" i="13" s="1"/>
  <c r="BQ11" i="13"/>
  <c r="BS11" i="13" s="1"/>
  <c r="BQ12" i="13"/>
  <c r="BQ13" i="13"/>
  <c r="BT13" i="13" s="1"/>
  <c r="BQ14" i="13"/>
  <c r="BS14" i="13" s="1"/>
  <c r="BQ15" i="13"/>
  <c r="BR15" i="13" s="1"/>
  <c r="BQ16" i="13"/>
  <c r="BR16" i="13" s="1"/>
  <c r="BQ17" i="13"/>
  <c r="BT17" i="13" s="1"/>
  <c r="BQ18" i="13"/>
  <c r="BS18" i="13" s="1"/>
  <c r="BQ19" i="13"/>
  <c r="BS19" i="13" s="1"/>
  <c r="BQ20" i="13"/>
  <c r="BS20" i="13" s="1"/>
  <c r="BQ21" i="13"/>
  <c r="BR21" i="13" s="1"/>
  <c r="BQ22" i="13"/>
  <c r="BQ23" i="13"/>
  <c r="BQ24" i="13"/>
  <c r="BQ25" i="13"/>
  <c r="BQ26" i="13"/>
  <c r="BT26" i="13" s="1"/>
  <c r="BQ27" i="13"/>
  <c r="BS27" i="13" s="1"/>
  <c r="BQ28" i="13"/>
  <c r="BR28" i="13" s="1"/>
  <c r="BQ29" i="13"/>
  <c r="BT29" i="13" s="1"/>
  <c r="BQ30" i="13"/>
  <c r="BT30" i="13" s="1"/>
  <c r="BQ31" i="13"/>
  <c r="BR31" i="13" s="1"/>
  <c r="BQ10" i="13"/>
  <c r="BT10" i="13" s="1"/>
  <c r="BT145" i="13" l="1"/>
  <c r="BS145" i="13"/>
  <c r="BR145" i="13"/>
  <c r="Q259" i="13"/>
  <c r="BS157" i="13"/>
  <c r="BR127" i="13"/>
  <c r="BS94" i="13"/>
  <c r="BR81" i="13"/>
  <c r="BS57" i="13"/>
  <c r="BR157" i="13"/>
  <c r="BR120" i="13"/>
  <c r="BT93" i="13"/>
  <c r="BR77" i="13"/>
  <c r="BR57" i="13"/>
  <c r="BT140" i="13"/>
  <c r="BT109" i="13"/>
  <c r="BS93" i="13"/>
  <c r="BT54" i="13"/>
  <c r="BS140" i="13"/>
  <c r="BS109" i="13"/>
  <c r="BS54" i="13"/>
  <c r="BT139" i="13"/>
  <c r="BT108" i="13"/>
  <c r="BR89" i="13"/>
  <c r="BR53" i="13"/>
  <c r="BS139" i="13"/>
  <c r="BS108" i="13"/>
  <c r="BT85" i="13"/>
  <c r="BT69" i="13"/>
  <c r="BR48" i="13"/>
  <c r="BR19" i="13"/>
  <c r="BS85" i="13"/>
  <c r="BS69" i="13"/>
  <c r="BT45" i="13"/>
  <c r="BS26" i="13"/>
  <c r="BR135" i="13"/>
  <c r="BR104" i="13"/>
  <c r="BR65" i="13"/>
  <c r="BS45" i="13"/>
  <c r="BT100" i="13"/>
  <c r="BT82" i="13"/>
  <c r="BR61" i="13"/>
  <c r="BT44" i="13"/>
  <c r="BS13" i="13"/>
  <c r="BS100" i="13"/>
  <c r="BS82" i="13"/>
  <c r="BT58" i="13"/>
  <c r="BR44" i="13"/>
  <c r="BS196" i="13"/>
  <c r="BT127" i="13"/>
  <c r="BT81" i="13"/>
  <c r="BS58" i="13"/>
  <c r="BR33" i="13"/>
  <c r="BT94" i="13"/>
  <c r="BR20" i="13"/>
  <c r="BS30" i="13"/>
  <c r="BS17" i="13"/>
  <c r="BR210" i="13"/>
  <c r="BS143" i="13"/>
  <c r="BS135" i="13"/>
  <c r="BS131" i="13"/>
  <c r="BS120" i="13"/>
  <c r="BS116" i="13"/>
  <c r="BS104" i="13"/>
  <c r="BS89" i="13"/>
  <c r="BS77" i="13"/>
  <c r="BS65" i="13"/>
  <c r="BS61" i="13"/>
  <c r="BS53" i="13"/>
  <c r="BS48" i="13"/>
  <c r="BS40" i="13"/>
  <c r="BS33" i="13"/>
  <c r="BR11" i="13"/>
  <c r="BR18" i="13"/>
  <c r="BS29" i="13"/>
  <c r="BS16" i="13"/>
  <c r="BR196" i="13"/>
  <c r="BT155" i="13"/>
  <c r="BT142" i="13"/>
  <c r="BT138" i="13"/>
  <c r="BT134" i="13"/>
  <c r="BT130" i="13"/>
  <c r="BT126" i="13"/>
  <c r="BT119" i="13"/>
  <c r="BT115" i="13"/>
  <c r="BT107" i="13"/>
  <c r="BT103" i="13"/>
  <c r="BT96" i="13"/>
  <c r="BT92" i="13"/>
  <c r="BT88" i="13"/>
  <c r="BT84" i="13"/>
  <c r="BT80" i="13"/>
  <c r="BT76" i="13"/>
  <c r="BT71" i="13"/>
  <c r="BT64" i="13"/>
  <c r="BT60" i="13"/>
  <c r="BT56" i="13"/>
  <c r="BT52" i="13"/>
  <c r="BT47" i="13"/>
  <c r="BT43" i="13"/>
  <c r="BT39" i="13"/>
  <c r="BT32" i="13"/>
  <c r="BR116" i="13"/>
  <c r="BR40" i="13"/>
  <c r="BR30" i="13"/>
  <c r="BR17" i="13"/>
  <c r="BT28" i="13"/>
  <c r="BT21" i="13"/>
  <c r="BT15" i="13"/>
  <c r="BR192" i="13"/>
  <c r="BS155" i="13"/>
  <c r="BS142" i="13"/>
  <c r="BS138" i="13"/>
  <c r="BS134" i="13"/>
  <c r="BS130" i="13"/>
  <c r="BS126" i="13"/>
  <c r="BS119" i="13"/>
  <c r="BS115" i="13"/>
  <c r="BS107" i="13"/>
  <c r="BS103" i="13"/>
  <c r="BS96" i="13"/>
  <c r="BS92" i="13"/>
  <c r="BS88" i="13"/>
  <c r="BS84" i="13"/>
  <c r="BS80" i="13"/>
  <c r="BS76" i="13"/>
  <c r="BS71" i="13"/>
  <c r="BS64" i="13"/>
  <c r="BS60" i="13"/>
  <c r="BS56" i="13"/>
  <c r="BS52" i="13"/>
  <c r="BS47" i="13"/>
  <c r="BS43" i="13"/>
  <c r="BS39" i="13"/>
  <c r="BS32" i="13"/>
  <c r="BT16" i="13"/>
  <c r="BR143" i="13"/>
  <c r="BR29" i="13"/>
  <c r="BS28" i="13"/>
  <c r="BS21" i="13"/>
  <c r="BS15" i="13"/>
  <c r="BT186" i="13"/>
  <c r="BR131" i="13"/>
  <c r="BT27" i="13"/>
  <c r="BT20" i="13"/>
  <c r="BT14" i="13"/>
  <c r="BS183" i="13"/>
  <c r="BT148" i="13"/>
  <c r="BT141" i="13"/>
  <c r="BT137" i="13"/>
  <c r="BT133" i="13"/>
  <c r="BT122" i="13"/>
  <c r="BT118" i="13"/>
  <c r="BT113" i="13"/>
  <c r="BT106" i="13"/>
  <c r="BT95" i="13"/>
  <c r="BT91" i="13"/>
  <c r="BT87" i="13"/>
  <c r="BT83" i="13"/>
  <c r="BT79" i="13"/>
  <c r="BT75" i="13"/>
  <c r="BT70" i="13"/>
  <c r="BT63" i="13"/>
  <c r="BT59" i="13"/>
  <c r="BT55" i="13"/>
  <c r="BT51" i="13"/>
  <c r="BT46" i="13"/>
  <c r="BT42" i="13"/>
  <c r="BT35" i="13"/>
  <c r="BT31" i="13"/>
  <c r="BR27" i="13"/>
  <c r="BR14" i="13"/>
  <c r="BS148" i="13"/>
  <c r="BS141" i="13"/>
  <c r="BS137" i="13"/>
  <c r="BS133" i="13"/>
  <c r="BS122" i="13"/>
  <c r="BS118" i="13"/>
  <c r="BS113" i="13"/>
  <c r="BS106" i="13"/>
  <c r="BS95" i="13"/>
  <c r="BS91" i="13"/>
  <c r="BS87" i="13"/>
  <c r="BS83" i="13"/>
  <c r="BS79" i="13"/>
  <c r="BS75" i="13"/>
  <c r="BS70" i="13"/>
  <c r="BS63" i="13"/>
  <c r="BS59" i="13"/>
  <c r="BS55" i="13"/>
  <c r="BS51" i="13"/>
  <c r="BS46" i="13"/>
  <c r="BS42" i="13"/>
  <c r="BS35" i="13"/>
  <c r="BS31" i="13"/>
  <c r="BR26" i="13"/>
  <c r="BR13" i="13"/>
  <c r="BT19" i="13"/>
  <c r="BT161" i="13"/>
  <c r="BR10" i="13"/>
  <c r="BT159" i="13"/>
  <c r="BT144" i="13"/>
  <c r="BT136" i="13"/>
  <c r="BT132" i="13"/>
  <c r="BT121" i="13"/>
  <c r="BT117" i="13"/>
  <c r="BT105" i="13"/>
  <c r="BT90" i="13"/>
  <c r="BT86" i="13"/>
  <c r="BT78" i="13"/>
  <c r="BT74" i="13"/>
  <c r="BT62" i="13"/>
  <c r="BT50" i="13"/>
  <c r="BT41" i="13"/>
  <c r="BT34" i="13"/>
  <c r="BS10" i="13"/>
  <c r="BT18" i="13"/>
  <c r="BT11" i="13"/>
  <c r="BS159" i="13"/>
  <c r="BS144" i="13"/>
  <c r="BS136" i="13"/>
  <c r="BS132" i="13"/>
  <c r="BS121" i="13"/>
  <c r="BS117" i="13"/>
  <c r="BS105" i="13"/>
  <c r="BS90" i="13"/>
  <c r="BS86" i="13"/>
  <c r="BS78" i="13"/>
  <c r="BS74" i="13"/>
  <c r="BS62" i="13"/>
  <c r="BS50" i="13"/>
  <c r="BS41" i="13"/>
  <c r="BS34" i="13"/>
  <c r="BT226" i="13"/>
  <c r="BS226" i="13"/>
  <c r="BS207" i="13"/>
  <c r="BT191" i="13"/>
  <c r="BR179" i="13"/>
  <c r="BS161" i="13"/>
  <c r="BR243" i="13"/>
  <c r="BT249" i="13"/>
  <c r="BR207" i="13"/>
  <c r="BS191" i="13"/>
  <c r="BS171" i="13"/>
  <c r="BS222" i="13"/>
  <c r="BT206" i="13"/>
  <c r="BR171" i="13"/>
  <c r="BT160" i="13"/>
  <c r="BS179" i="13"/>
  <c r="BS243" i="13"/>
  <c r="BR222" i="13"/>
  <c r="BS206" i="13"/>
  <c r="BS187" i="13"/>
  <c r="BS160" i="13"/>
  <c r="BT221" i="13"/>
  <c r="BR187" i="13"/>
  <c r="BS249" i="13"/>
  <c r="BS211" i="13"/>
  <c r="BT195" i="13"/>
  <c r="BR183" i="13"/>
  <c r="BR164" i="13"/>
  <c r="BR221" i="13"/>
  <c r="BR211" i="13"/>
  <c r="BS195" i="13"/>
  <c r="BT182" i="13"/>
  <c r="BT163" i="13"/>
  <c r="BT248" i="13"/>
  <c r="BT237" i="13"/>
  <c r="BS227" i="13"/>
  <c r="BT210" i="13"/>
  <c r="BS182" i="13"/>
  <c r="BS163" i="13"/>
  <c r="BS248" i="13"/>
  <c r="BS164" i="13"/>
  <c r="BS237" i="13"/>
  <c r="BR227" i="13"/>
  <c r="BS192" i="13"/>
  <c r="BT217" i="13"/>
  <c r="BT234" i="13"/>
  <c r="BR246" i="13"/>
  <c r="BR203" i="13"/>
  <c r="BR230" i="13"/>
  <c r="BR176" i="13"/>
  <c r="BT229" i="13"/>
  <c r="BT224" i="13"/>
  <c r="BT220" i="13"/>
  <c r="BT213" i="13"/>
  <c r="BT209" i="13"/>
  <c r="BT205" i="13"/>
  <c r="BT201" i="13"/>
  <c r="BT194" i="13"/>
  <c r="BT190" i="13"/>
  <c r="BT185" i="13"/>
  <c r="BT181" i="13"/>
  <c r="BT175" i="13"/>
  <c r="BT169" i="13"/>
  <c r="BT162" i="13"/>
  <c r="BT245" i="13"/>
  <c r="BT241" i="13"/>
  <c r="BT236" i="13"/>
  <c r="BR234" i="13"/>
  <c r="BS217" i="13"/>
  <c r="BR202" i="13"/>
  <c r="BS229" i="13"/>
  <c r="BS224" i="13"/>
  <c r="BS220" i="13"/>
  <c r="BS213" i="13"/>
  <c r="BS209" i="13"/>
  <c r="BS205" i="13"/>
  <c r="BS201" i="13"/>
  <c r="BS194" i="13"/>
  <c r="BS190" i="13"/>
  <c r="BS185" i="13"/>
  <c r="BS181" i="13"/>
  <c r="BS175" i="13"/>
  <c r="BS169" i="13"/>
  <c r="BS162" i="13"/>
  <c r="BS245" i="13"/>
  <c r="BS241" i="13"/>
  <c r="BS236" i="13"/>
  <c r="BT228" i="13"/>
  <c r="BT223" i="13"/>
  <c r="BT219" i="13"/>
  <c r="BT212" i="13"/>
  <c r="BT208" i="13"/>
  <c r="BT204" i="13"/>
  <c r="BT200" i="13"/>
  <c r="BT193" i="13"/>
  <c r="BT189" i="13"/>
  <c r="BT184" i="13"/>
  <c r="BT180" i="13"/>
  <c r="BT172" i="13"/>
  <c r="BT165" i="13"/>
  <c r="BT244" i="13"/>
  <c r="BT240" i="13"/>
  <c r="BT246" i="13"/>
  <c r="BS228" i="13"/>
  <c r="BS223" i="13"/>
  <c r="BS219" i="13"/>
  <c r="BS212" i="13"/>
  <c r="BS208" i="13"/>
  <c r="BS204" i="13"/>
  <c r="BS200" i="13"/>
  <c r="BS193" i="13"/>
  <c r="BS189" i="13"/>
  <c r="BS184" i="13"/>
  <c r="BS180" i="13"/>
  <c r="BS172" i="13"/>
  <c r="BS165" i="13"/>
  <c r="BS244" i="13"/>
  <c r="BS240" i="13"/>
  <c r="BR218" i="13"/>
  <c r="BR247" i="13"/>
  <c r="BT202" i="13"/>
  <c r="BS230" i="13"/>
  <c r="BS176" i="13"/>
  <c r="BS186" i="13"/>
  <c r="BT218" i="13"/>
  <c r="BT203" i="13"/>
  <c r="BT247" i="13"/>
  <c r="AF192" i="5" l="1"/>
  <c r="AE192" i="5"/>
  <c r="AD192" i="5"/>
  <c r="BJ195" i="13"/>
  <c r="BK195" i="13" s="1"/>
  <c r="BG195" i="13"/>
  <c r="BH195" i="13" s="1"/>
  <c r="BD195" i="13"/>
  <c r="BE195" i="13" s="1"/>
  <c r="B195" i="13"/>
  <c r="U122" i="13" l="1"/>
  <c r="U121" i="13" s="1"/>
  <c r="BJ40" i="13"/>
  <c r="BK40" i="13" s="1"/>
  <c r="BG40" i="13"/>
  <c r="BH40" i="13" s="1"/>
  <c r="BD40" i="13"/>
  <c r="BE40" i="13" s="1"/>
  <c r="AF40" i="5"/>
  <c r="AE40" i="5"/>
  <c r="AD40" i="5"/>
  <c r="C40" i="5"/>
  <c r="C42" i="5"/>
  <c r="D42" i="21" s="1"/>
  <c r="K39" i="13"/>
  <c r="D40" i="21" l="1"/>
  <c r="C41" i="5"/>
  <c r="D41" i="21" s="1"/>
  <c r="BJ178" i="13"/>
  <c r="BK178" i="13" s="1"/>
  <c r="BG178" i="13"/>
  <c r="BH178" i="13" s="1"/>
  <c r="BD178" i="13"/>
  <c r="BE178" i="13" s="1"/>
  <c r="BJ177" i="13"/>
  <c r="BK177" i="13" s="1"/>
  <c r="BG177" i="13"/>
  <c r="BH177" i="13" s="1"/>
  <c r="BD177" i="13"/>
  <c r="BE177" i="13" s="1"/>
  <c r="AI261" i="13"/>
  <c r="AI260" i="13"/>
  <c r="AF16" i="5" l="1"/>
  <c r="AE16" i="5"/>
  <c r="AD16" i="5"/>
  <c r="H158" i="16"/>
  <c r="H140" i="16"/>
  <c r="H139" i="16"/>
  <c r="H21" i="16"/>
  <c r="H20" i="16"/>
  <c r="H19" i="16"/>
  <c r="H86" i="16"/>
  <c r="H85" i="16"/>
  <c r="H7" i="16"/>
  <c r="AF101" i="5" l="1"/>
  <c r="AE101" i="5"/>
  <c r="AD101" i="5"/>
  <c r="BJ88" i="13"/>
  <c r="BK88" i="13" s="1"/>
  <c r="BG88" i="13"/>
  <c r="BH88" i="13" s="1"/>
  <c r="BD88" i="13"/>
  <c r="BE88" i="13" s="1"/>
  <c r="AF87" i="5"/>
  <c r="AE87" i="5"/>
  <c r="AD87" i="5"/>
  <c r="C87" i="5"/>
  <c r="D87" i="21" s="1"/>
  <c r="B88" i="13"/>
  <c r="Z88" i="13" s="1"/>
  <c r="H75" i="13"/>
  <c r="N59" i="13"/>
  <c r="M59" i="13"/>
  <c r="H59" i="13"/>
  <c r="N56" i="13"/>
  <c r="M56" i="13"/>
  <c r="H56" i="13"/>
  <c r="AF27" i="5"/>
  <c r="AE27" i="5"/>
  <c r="AD27" i="5"/>
  <c r="AF26" i="5"/>
  <c r="AE26" i="5"/>
  <c r="AD26" i="5"/>
  <c r="B23" i="13"/>
  <c r="B24" i="13"/>
  <c r="AF200" i="5" l="1"/>
  <c r="AE200" i="5"/>
  <c r="AD200" i="5"/>
  <c r="L187" i="13"/>
  <c r="BJ143" i="13"/>
  <c r="BK143" i="13" s="1"/>
  <c r="BG143" i="13"/>
  <c r="BH143" i="13" s="1"/>
  <c r="BD143" i="13"/>
  <c r="BE143" i="13" s="1"/>
  <c r="AF137" i="5"/>
  <c r="AE137" i="5"/>
  <c r="AD137" i="5"/>
  <c r="H137" i="16"/>
  <c r="R138" i="13"/>
  <c r="P138" i="13"/>
  <c r="O138" i="13"/>
  <c r="N138" i="13"/>
  <c r="M138" i="13"/>
  <c r="L138" i="13"/>
  <c r="K138" i="13"/>
  <c r="J138" i="13"/>
  <c r="I138" i="13"/>
  <c r="H138" i="13"/>
  <c r="G138" i="13"/>
  <c r="F138" i="13"/>
  <c r="B143" i="13"/>
  <c r="H8" i="16" l="1"/>
  <c r="H9" i="16"/>
  <c r="H10" i="16"/>
  <c r="H11" i="16"/>
  <c r="H12" i="16"/>
  <c r="H13" i="16"/>
  <c r="H14" i="16"/>
  <c r="H15" i="16"/>
  <c r="H16" i="16"/>
  <c r="H17" i="16"/>
  <c r="H18" i="16"/>
  <c r="Z23" i="13"/>
  <c r="Z24" i="13"/>
  <c r="H23" i="16"/>
  <c r="H24" i="16"/>
  <c r="H25" i="16"/>
  <c r="H26" i="16"/>
  <c r="H27" i="16"/>
  <c r="H28" i="16"/>
  <c r="H29" i="16"/>
  <c r="H30" i="16"/>
  <c r="H31" i="16"/>
  <c r="H32" i="16"/>
  <c r="H33" i="16"/>
  <c r="H34" i="16"/>
  <c r="H35" i="16"/>
  <c r="H36"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9" i="16"/>
  <c r="H80" i="16"/>
  <c r="H81" i="16"/>
  <c r="H82" i="16"/>
  <c r="H83" i="16"/>
  <c r="H84"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8" i="16"/>
  <c r="Z143" i="13"/>
  <c r="H141" i="16"/>
  <c r="H142" i="16"/>
  <c r="H143" i="16"/>
  <c r="H144" i="16"/>
  <c r="H145" i="16"/>
  <c r="H146" i="16"/>
  <c r="H147" i="16"/>
  <c r="H148" i="16"/>
  <c r="H149" i="16"/>
  <c r="H150" i="16"/>
  <c r="H151" i="16"/>
  <c r="H152" i="16"/>
  <c r="H153" i="16"/>
  <c r="H154" i="16"/>
  <c r="H155" i="16"/>
  <c r="H156" i="16"/>
  <c r="H157"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3" i="16"/>
  <c r="Z195" i="13" s="1"/>
  <c r="H194" i="16"/>
  <c r="H195" i="16"/>
  <c r="H196" i="16"/>
  <c r="H197" i="16"/>
  <c r="H198" i="16"/>
  <c r="H200" i="16" s="1"/>
  <c r="H201" i="16"/>
  <c r="H202" i="16"/>
  <c r="H203" i="16" s="1"/>
  <c r="H204" i="16"/>
  <c r="H205" i="16"/>
  <c r="H206" i="16"/>
  <c r="H207" i="16" s="1"/>
  <c r="H208" i="16"/>
  <c r="H209" i="16"/>
  <c r="H210" i="16" s="1"/>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BJ213" i="13"/>
  <c r="BK213" i="13" s="1"/>
  <c r="BG213" i="13"/>
  <c r="BH213" i="13" s="1"/>
  <c r="BD213" i="13"/>
  <c r="BE213" i="13" s="1"/>
  <c r="BJ212" i="13"/>
  <c r="BK212" i="13" s="1"/>
  <c r="BG212" i="13"/>
  <c r="BH212" i="13" s="1"/>
  <c r="BD212" i="13"/>
  <c r="BE212" i="13" s="1"/>
  <c r="BJ196" i="13"/>
  <c r="BK196" i="13" s="1"/>
  <c r="BG196" i="13"/>
  <c r="BH196" i="13" s="1"/>
  <c r="BD196" i="13"/>
  <c r="BE196" i="13" s="1"/>
  <c r="BJ194" i="13"/>
  <c r="BK194" i="13" s="1"/>
  <c r="BG194" i="13"/>
  <c r="BH194" i="13" s="1"/>
  <c r="BD194" i="13"/>
  <c r="BE194" i="13" s="1"/>
  <c r="BJ193" i="13"/>
  <c r="BK193" i="13" s="1"/>
  <c r="BG193" i="13"/>
  <c r="BH193" i="13" s="1"/>
  <c r="BD193" i="13"/>
  <c r="BE193" i="13" s="1"/>
  <c r="BJ149" i="13"/>
  <c r="BK149" i="13" s="1"/>
  <c r="BG149" i="13"/>
  <c r="BH149" i="13" s="1"/>
  <c r="BD149" i="13"/>
  <c r="BE149" i="13" s="1"/>
  <c r="AF201" i="5"/>
  <c r="AE201" i="5"/>
  <c r="AD201" i="5"/>
  <c r="AF199" i="5"/>
  <c r="AE199" i="5"/>
  <c r="AD199" i="5"/>
  <c r="BD205" i="13"/>
  <c r="BE205" i="13" s="1"/>
  <c r="BG205" i="13"/>
  <c r="BH205" i="13" s="1"/>
  <c r="BJ205" i="13"/>
  <c r="BK205" i="13" s="1"/>
  <c r="BD206" i="13"/>
  <c r="BE206" i="13" s="1"/>
  <c r="BG206" i="13"/>
  <c r="BH206" i="13" s="1"/>
  <c r="BJ206" i="13"/>
  <c r="BK206" i="13" s="1"/>
  <c r="BD209" i="13"/>
  <c r="BE209" i="13" s="1"/>
  <c r="BG209" i="13"/>
  <c r="BH209" i="13" s="1"/>
  <c r="BJ209" i="13"/>
  <c r="BK209" i="13" s="1"/>
  <c r="BD210" i="13"/>
  <c r="BE210" i="13" s="1"/>
  <c r="BG210" i="13"/>
  <c r="BH210" i="13" s="1"/>
  <c r="BJ210" i="13"/>
  <c r="BK210" i="13" s="1"/>
  <c r="BD201" i="13"/>
  <c r="BE201" i="13" s="1"/>
  <c r="BG201" i="13"/>
  <c r="BH201" i="13" s="1"/>
  <c r="BJ201" i="13"/>
  <c r="BK201" i="13" s="1"/>
  <c r="BD202" i="13"/>
  <c r="BE202" i="13" s="1"/>
  <c r="BG202" i="13"/>
  <c r="BH202" i="13" s="1"/>
  <c r="BJ202" i="13"/>
  <c r="BK202" i="13" s="1"/>
  <c r="BD203" i="13"/>
  <c r="BE203" i="13" s="1"/>
  <c r="BG203" i="13"/>
  <c r="BH203" i="13" s="1"/>
  <c r="BJ203" i="13"/>
  <c r="BK203" i="13" s="1"/>
  <c r="BD172" i="13"/>
  <c r="BE172" i="13" s="1"/>
  <c r="BG172" i="13"/>
  <c r="BH172" i="13" s="1"/>
  <c r="BJ172" i="13"/>
  <c r="BK172" i="13" s="1"/>
  <c r="BD174" i="13"/>
  <c r="BE174" i="13" s="1"/>
  <c r="BG174" i="13"/>
  <c r="BH174" i="13" s="1"/>
  <c r="BJ174" i="13"/>
  <c r="BK174" i="13" s="1"/>
  <c r="BD176" i="13"/>
  <c r="BE176" i="13" s="1"/>
  <c r="BG176" i="13"/>
  <c r="BH176" i="13" s="1"/>
  <c r="BJ176" i="13"/>
  <c r="BK176" i="13" s="1"/>
  <c r="BD180" i="13"/>
  <c r="BE180" i="13" s="1"/>
  <c r="BG180" i="13"/>
  <c r="BH180" i="13" s="1"/>
  <c r="BJ180" i="13"/>
  <c r="BK180" i="13" s="1"/>
  <c r="BD182" i="13"/>
  <c r="BE182" i="13" s="1"/>
  <c r="BG182" i="13"/>
  <c r="BH182" i="13" s="1"/>
  <c r="BJ182" i="13"/>
  <c r="BK182" i="13" s="1"/>
  <c r="BD184" i="13"/>
  <c r="BE184" i="13" s="1"/>
  <c r="BG184" i="13"/>
  <c r="BH184" i="13" s="1"/>
  <c r="BJ184" i="13"/>
  <c r="BK184" i="13" s="1"/>
  <c r="BD185" i="13"/>
  <c r="BE185" i="13" s="1"/>
  <c r="BG185" i="13"/>
  <c r="BH185" i="13" s="1"/>
  <c r="BJ185" i="13"/>
  <c r="BK185" i="13" s="1"/>
  <c r="BD186" i="13"/>
  <c r="BE186" i="13" s="1"/>
  <c r="BG186" i="13"/>
  <c r="BH186" i="13" s="1"/>
  <c r="BJ186" i="13"/>
  <c r="BK186" i="13" s="1"/>
  <c r="BD190" i="13"/>
  <c r="BE190" i="13" s="1"/>
  <c r="BG190" i="13"/>
  <c r="BH190" i="13" s="1"/>
  <c r="BJ190" i="13"/>
  <c r="BK190" i="13" s="1"/>
  <c r="BD191" i="13"/>
  <c r="BE191" i="13" s="1"/>
  <c r="BG191" i="13"/>
  <c r="BH191" i="13" s="1"/>
  <c r="BJ191" i="13"/>
  <c r="BK191" i="13" s="1"/>
  <c r="BD170" i="13"/>
  <c r="BE170" i="13" s="1"/>
  <c r="BG170" i="13"/>
  <c r="BH170" i="13" s="1"/>
  <c r="BJ170" i="13"/>
  <c r="BK170" i="13" s="1"/>
  <c r="BD162" i="13"/>
  <c r="BE162" i="13" s="1"/>
  <c r="BG162" i="13"/>
  <c r="BH162" i="13" s="1"/>
  <c r="BJ162" i="13"/>
  <c r="BK162" i="13" s="1"/>
  <c r="BD131" i="13"/>
  <c r="BE131" i="13" s="1"/>
  <c r="BG131" i="13"/>
  <c r="BH131" i="13" s="1"/>
  <c r="BJ131" i="13"/>
  <c r="BK131" i="13" s="1"/>
  <c r="BD132" i="13"/>
  <c r="BE132" i="13" s="1"/>
  <c r="BG132" i="13"/>
  <c r="BH132" i="13" s="1"/>
  <c r="BJ132" i="13"/>
  <c r="BK132" i="13" s="1"/>
  <c r="BD133" i="13"/>
  <c r="BE133" i="13" s="1"/>
  <c r="BG133" i="13"/>
  <c r="BH133" i="13" s="1"/>
  <c r="BJ133" i="13"/>
  <c r="BK133" i="13" s="1"/>
  <c r="BD135" i="13"/>
  <c r="BE135" i="13" s="1"/>
  <c r="BG135" i="13"/>
  <c r="BH135" i="13" s="1"/>
  <c r="BJ135" i="13"/>
  <c r="BK135" i="13" s="1"/>
  <c r="BD136" i="13"/>
  <c r="BE136" i="13" s="1"/>
  <c r="BG136" i="13"/>
  <c r="BH136" i="13" s="1"/>
  <c r="BJ136" i="13"/>
  <c r="BK136" i="13" s="1"/>
  <c r="BD137" i="13"/>
  <c r="BE137" i="13" s="1"/>
  <c r="BG137" i="13"/>
  <c r="BH137" i="13" s="1"/>
  <c r="BJ137" i="13"/>
  <c r="BK137" i="13" s="1"/>
  <c r="BD139" i="13"/>
  <c r="BE139" i="13" s="1"/>
  <c r="BG139" i="13"/>
  <c r="BH139" i="13" s="1"/>
  <c r="BJ139" i="13"/>
  <c r="BK139" i="13" s="1"/>
  <c r="BD140" i="13"/>
  <c r="BE140" i="13" s="1"/>
  <c r="BG140" i="13"/>
  <c r="BH140" i="13" s="1"/>
  <c r="BJ140" i="13"/>
  <c r="BK140" i="13" s="1"/>
  <c r="BD141" i="13"/>
  <c r="BE141" i="13" s="1"/>
  <c r="BG141" i="13"/>
  <c r="BH141" i="13" s="1"/>
  <c r="BJ141" i="13"/>
  <c r="BK141" i="13" s="1"/>
  <c r="BD146" i="13"/>
  <c r="BE146" i="13" s="1"/>
  <c r="BG146" i="13"/>
  <c r="BH146" i="13" s="1"/>
  <c r="BJ146" i="13"/>
  <c r="BK146" i="13" s="1"/>
  <c r="BD147" i="13"/>
  <c r="BE147" i="13" s="1"/>
  <c r="BG147" i="13"/>
  <c r="BH147" i="13" s="1"/>
  <c r="BJ147" i="13"/>
  <c r="BK147" i="13" s="1"/>
  <c r="BD127" i="13"/>
  <c r="BE127" i="13" s="1"/>
  <c r="BG127" i="13"/>
  <c r="BH127" i="13" s="1"/>
  <c r="BJ127" i="13"/>
  <c r="BK127" i="13" s="1"/>
  <c r="BD129" i="13"/>
  <c r="BE129" i="13" s="1"/>
  <c r="BG129" i="13"/>
  <c r="BH129" i="13" s="1"/>
  <c r="BJ129" i="13"/>
  <c r="BK129" i="13" s="1"/>
  <c r="BD116" i="13"/>
  <c r="BE116" i="13" s="1"/>
  <c r="BG116" i="13"/>
  <c r="BH116" i="13" s="1"/>
  <c r="BJ116" i="13"/>
  <c r="BK116" i="13" s="1"/>
  <c r="BD118" i="13"/>
  <c r="BE118" i="13" s="1"/>
  <c r="BG118" i="13"/>
  <c r="BH118" i="13" s="1"/>
  <c r="BJ118" i="13"/>
  <c r="BK118" i="13" s="1"/>
  <c r="BD119" i="13"/>
  <c r="BE119" i="13" s="1"/>
  <c r="BG119" i="13"/>
  <c r="BH119" i="13" s="1"/>
  <c r="BJ119" i="13"/>
  <c r="BK119" i="13" s="1"/>
  <c r="BD120" i="13"/>
  <c r="BE120" i="13" s="1"/>
  <c r="BG120" i="13"/>
  <c r="BH120" i="13" s="1"/>
  <c r="BJ120" i="13"/>
  <c r="BK120" i="13" s="1"/>
  <c r="BD101" i="13"/>
  <c r="BE101" i="13" s="1"/>
  <c r="BG101" i="13"/>
  <c r="BH101" i="13" s="1"/>
  <c r="BJ101" i="13"/>
  <c r="BK101" i="13" s="1"/>
  <c r="BD104" i="13"/>
  <c r="BE104" i="13" s="1"/>
  <c r="BG104" i="13"/>
  <c r="BH104" i="13" s="1"/>
  <c r="BJ104" i="13"/>
  <c r="BK104" i="13" s="1"/>
  <c r="BD105" i="13"/>
  <c r="BE105" i="13" s="1"/>
  <c r="BG105" i="13"/>
  <c r="BH105" i="13" s="1"/>
  <c r="BJ105" i="13"/>
  <c r="BK105" i="13" s="1"/>
  <c r="BD76" i="13"/>
  <c r="BE76" i="13" s="1"/>
  <c r="BG76" i="13"/>
  <c r="BH76" i="13" s="1"/>
  <c r="BJ76" i="13"/>
  <c r="BK76" i="13" s="1"/>
  <c r="BD77" i="13"/>
  <c r="BE77" i="13" s="1"/>
  <c r="BG77" i="13"/>
  <c r="BH77" i="13" s="1"/>
  <c r="BJ77" i="13"/>
  <c r="BK77" i="13" s="1"/>
  <c r="BD78" i="13"/>
  <c r="BE78" i="13" s="1"/>
  <c r="BG78" i="13"/>
  <c r="BH78" i="13" s="1"/>
  <c r="BJ78" i="13"/>
  <c r="BK78" i="13" s="1"/>
  <c r="BD80" i="13"/>
  <c r="BE80" i="13" s="1"/>
  <c r="BG80" i="13"/>
  <c r="BH80" i="13" s="1"/>
  <c r="BJ80" i="13"/>
  <c r="BK80" i="13" s="1"/>
  <c r="BD81" i="13"/>
  <c r="BE81" i="13" s="1"/>
  <c r="BG81" i="13"/>
  <c r="BH81" i="13" s="1"/>
  <c r="BJ81" i="13"/>
  <c r="BK81" i="13" s="1"/>
  <c r="BD84" i="13"/>
  <c r="BE84" i="13" s="1"/>
  <c r="BG84" i="13"/>
  <c r="BH84" i="13" s="1"/>
  <c r="BJ84" i="13"/>
  <c r="BK84" i="13" s="1"/>
  <c r="BD85" i="13"/>
  <c r="BE85" i="13" s="1"/>
  <c r="BG85" i="13"/>
  <c r="BH85" i="13" s="1"/>
  <c r="BJ85" i="13"/>
  <c r="BK85" i="13" s="1"/>
  <c r="BD87" i="13"/>
  <c r="BE87" i="13" s="1"/>
  <c r="BG87" i="13"/>
  <c r="BH87" i="13" s="1"/>
  <c r="BJ87" i="13"/>
  <c r="BK87" i="13" s="1"/>
  <c r="BD89" i="13"/>
  <c r="BE89" i="13" s="1"/>
  <c r="BG89" i="13"/>
  <c r="BH89" i="13" s="1"/>
  <c r="BJ89" i="13"/>
  <c r="BK89" i="13" s="1"/>
  <c r="BD92" i="13"/>
  <c r="BE92" i="13" s="1"/>
  <c r="BG92" i="13"/>
  <c r="BH92" i="13" s="1"/>
  <c r="BJ92" i="13"/>
  <c r="BK92" i="13" s="1"/>
  <c r="BD94" i="13"/>
  <c r="BE94" i="13" s="1"/>
  <c r="BG94" i="13"/>
  <c r="BH94" i="13" s="1"/>
  <c r="BJ94" i="13"/>
  <c r="BK94" i="13" s="1"/>
  <c r="BD70" i="13"/>
  <c r="BE70" i="13" s="1"/>
  <c r="BG70" i="13"/>
  <c r="BH70" i="13" s="1"/>
  <c r="BJ70" i="13"/>
  <c r="BK70" i="13" s="1"/>
  <c r="BD71" i="13"/>
  <c r="BE71" i="13" s="1"/>
  <c r="BG71" i="13"/>
  <c r="BH71" i="13" s="1"/>
  <c r="BJ71" i="13"/>
  <c r="BK71" i="13" s="1"/>
  <c r="BD74" i="13"/>
  <c r="BE74" i="13" s="1"/>
  <c r="BG74" i="13"/>
  <c r="BH74" i="13" s="1"/>
  <c r="BJ74" i="13"/>
  <c r="BK74" i="13" s="1"/>
  <c r="BD47" i="13"/>
  <c r="BE47" i="13" s="1"/>
  <c r="BG47" i="13"/>
  <c r="BH47" i="13" s="1"/>
  <c r="BJ47" i="13"/>
  <c r="BK47" i="13" s="1"/>
  <c r="BD48" i="13"/>
  <c r="BE48" i="13" s="1"/>
  <c r="BG48" i="13"/>
  <c r="BH48" i="13" s="1"/>
  <c r="BJ48" i="13"/>
  <c r="BK48" i="13" s="1"/>
  <c r="BD50" i="13"/>
  <c r="BE50" i="13" s="1"/>
  <c r="BG50" i="13"/>
  <c r="BH50" i="13" s="1"/>
  <c r="BJ50" i="13"/>
  <c r="BK50" i="13" s="1"/>
  <c r="BD52" i="13"/>
  <c r="BE52" i="13" s="1"/>
  <c r="BG52" i="13"/>
  <c r="BH52" i="13" s="1"/>
  <c r="BJ52" i="13"/>
  <c r="BK52" i="13" s="1"/>
  <c r="BD53" i="13"/>
  <c r="BE53" i="13" s="1"/>
  <c r="BG53" i="13"/>
  <c r="BH53" i="13" s="1"/>
  <c r="BJ53" i="13"/>
  <c r="BK53" i="13" s="1"/>
  <c r="BD54" i="13"/>
  <c r="BE54" i="13" s="1"/>
  <c r="BG54" i="13"/>
  <c r="BH54" i="13" s="1"/>
  <c r="BJ54" i="13"/>
  <c r="BK54" i="13" s="1"/>
  <c r="BD57" i="13"/>
  <c r="BE57" i="13" s="1"/>
  <c r="BG57" i="13"/>
  <c r="BH57" i="13" s="1"/>
  <c r="BJ57" i="13"/>
  <c r="BK57" i="13" s="1"/>
  <c r="BD58" i="13"/>
  <c r="BE58" i="13" s="1"/>
  <c r="BG58" i="13"/>
  <c r="BH58" i="13" s="1"/>
  <c r="BJ58" i="13"/>
  <c r="BK58" i="13" s="1"/>
  <c r="BD60" i="13"/>
  <c r="BE60" i="13" s="1"/>
  <c r="BG60" i="13"/>
  <c r="BH60" i="13" s="1"/>
  <c r="BJ60" i="13"/>
  <c r="BK60" i="13" s="1"/>
  <c r="BD61" i="13"/>
  <c r="BE61" i="13" s="1"/>
  <c r="BG61" i="13"/>
  <c r="BH61" i="13" s="1"/>
  <c r="BJ61" i="13"/>
  <c r="BK61" i="13" s="1"/>
  <c r="BD64" i="13"/>
  <c r="BE64" i="13" s="1"/>
  <c r="BG64" i="13"/>
  <c r="BH64" i="13" s="1"/>
  <c r="BJ64" i="13"/>
  <c r="BK64" i="13" s="1"/>
  <c r="BD41" i="13"/>
  <c r="BE41" i="13" s="1"/>
  <c r="BG41" i="13"/>
  <c r="BH41" i="13" s="1"/>
  <c r="BJ41" i="13"/>
  <c r="BK41" i="13" s="1"/>
  <c r="BD42" i="13"/>
  <c r="BE42" i="13" s="1"/>
  <c r="BG42" i="13"/>
  <c r="BH42" i="13" s="1"/>
  <c r="BJ42" i="13"/>
  <c r="BK42" i="13" s="1"/>
  <c r="BD43" i="13"/>
  <c r="BE43" i="13" s="1"/>
  <c r="BG43" i="13"/>
  <c r="BH43" i="13" s="1"/>
  <c r="BJ43" i="13"/>
  <c r="BK43" i="13" s="1"/>
  <c r="BD44" i="13"/>
  <c r="BE44" i="13" s="1"/>
  <c r="BG44" i="13"/>
  <c r="BH44" i="13" s="1"/>
  <c r="BJ44" i="13"/>
  <c r="BK44" i="13" s="1"/>
  <c r="BD45" i="13"/>
  <c r="BE45" i="13" s="1"/>
  <c r="BG45" i="13"/>
  <c r="BH45" i="13" s="1"/>
  <c r="BJ45" i="13"/>
  <c r="BK45" i="13" s="1"/>
  <c r="BD17" i="13"/>
  <c r="BE17" i="13" s="1"/>
  <c r="BG17" i="13"/>
  <c r="BH17" i="13" s="1"/>
  <c r="BJ17" i="13"/>
  <c r="BK17" i="13" s="1"/>
  <c r="BD18" i="13"/>
  <c r="BE18" i="13" s="1"/>
  <c r="BG18" i="13"/>
  <c r="BH18" i="13" s="1"/>
  <c r="BJ18" i="13"/>
  <c r="BK18" i="13" s="1"/>
  <c r="BD20" i="13"/>
  <c r="BE20" i="13" s="1"/>
  <c r="BG20" i="13"/>
  <c r="BH20" i="13" s="1"/>
  <c r="BJ20" i="13"/>
  <c r="BK20" i="13" s="1"/>
  <c r="BD21" i="13"/>
  <c r="BE21" i="13" s="1"/>
  <c r="BG21" i="13"/>
  <c r="BH21" i="13" s="1"/>
  <c r="BJ21" i="13"/>
  <c r="BK21" i="13" s="1"/>
  <c r="BD26" i="13"/>
  <c r="BE26" i="13" s="1"/>
  <c r="BG26" i="13"/>
  <c r="BH26" i="13" s="1"/>
  <c r="BJ26" i="13"/>
  <c r="BK26" i="13" s="1"/>
  <c r="BD28" i="13"/>
  <c r="BE28" i="13" s="1"/>
  <c r="BG28" i="13"/>
  <c r="BH28" i="13" s="1"/>
  <c r="BJ28" i="13"/>
  <c r="BK28" i="13" s="1"/>
  <c r="BD31" i="13"/>
  <c r="BE31" i="13" s="1"/>
  <c r="BG31" i="13"/>
  <c r="BH31" i="13" s="1"/>
  <c r="BJ31" i="13"/>
  <c r="BK31" i="13" s="1"/>
  <c r="BD33" i="13"/>
  <c r="BE33" i="13" s="1"/>
  <c r="BG33" i="13"/>
  <c r="BH33" i="13" s="1"/>
  <c r="BJ33" i="13"/>
  <c r="BK33" i="13" s="1"/>
  <c r="BD13" i="13"/>
  <c r="BE13" i="13" s="1"/>
  <c r="BG13" i="13"/>
  <c r="BH13" i="13" s="1"/>
  <c r="BJ13" i="13"/>
  <c r="BK13" i="13" s="1"/>
  <c r="BD14" i="13"/>
  <c r="BE14" i="13" s="1"/>
  <c r="BG14" i="13"/>
  <c r="BH14" i="13" s="1"/>
  <c r="BJ14" i="13"/>
  <c r="BK14" i="13" s="1"/>
  <c r="H199" i="16" l="1"/>
  <c r="H78" i="16"/>
  <c r="AG95" i="13"/>
  <c r="AG96" i="13"/>
  <c r="G231" i="13"/>
  <c r="H231" i="13"/>
  <c r="I231" i="13"/>
  <c r="J231" i="13"/>
  <c r="K231" i="13"/>
  <c r="L231" i="13"/>
  <c r="M231" i="13"/>
  <c r="N231" i="13"/>
  <c r="O231" i="13"/>
  <c r="P231" i="13"/>
  <c r="R231" i="13"/>
  <c r="F231" i="13"/>
  <c r="G214" i="13"/>
  <c r="H214" i="13"/>
  <c r="I214" i="13"/>
  <c r="J214" i="13"/>
  <c r="K214" i="13"/>
  <c r="L214" i="13"/>
  <c r="M214" i="13"/>
  <c r="N214" i="13"/>
  <c r="O214" i="13"/>
  <c r="P214" i="13"/>
  <c r="R214" i="13"/>
  <c r="R169" i="13"/>
  <c r="P169" i="13"/>
  <c r="O169" i="13"/>
  <c r="N169" i="13"/>
  <c r="M169" i="13"/>
  <c r="L169" i="13"/>
  <c r="K169" i="13"/>
  <c r="J169" i="13"/>
  <c r="I169" i="13"/>
  <c r="H169" i="13"/>
  <c r="G169" i="13"/>
  <c r="R192" i="13"/>
  <c r="P192" i="13"/>
  <c r="O192" i="13"/>
  <c r="N192" i="13"/>
  <c r="M192" i="13"/>
  <c r="L192" i="13"/>
  <c r="K192" i="13"/>
  <c r="J192" i="13"/>
  <c r="I192" i="13"/>
  <c r="H192" i="13"/>
  <c r="G192" i="13"/>
  <c r="R189" i="13"/>
  <c r="P189" i="13"/>
  <c r="O189" i="13"/>
  <c r="N189" i="13"/>
  <c r="M189" i="13"/>
  <c r="L189" i="13"/>
  <c r="K189" i="13"/>
  <c r="J189" i="13"/>
  <c r="I189" i="13"/>
  <c r="H189" i="13"/>
  <c r="G189" i="13"/>
  <c r="R187" i="13"/>
  <c r="P187" i="13"/>
  <c r="O187" i="13"/>
  <c r="N187" i="13"/>
  <c r="M187" i="13"/>
  <c r="K187" i="13"/>
  <c r="J187" i="13"/>
  <c r="I187" i="13"/>
  <c r="H187" i="13"/>
  <c r="G187" i="13"/>
  <c r="R183" i="13"/>
  <c r="P183" i="13"/>
  <c r="O183" i="13"/>
  <c r="N183" i="13"/>
  <c r="M183" i="13"/>
  <c r="L183" i="13"/>
  <c r="K183" i="13"/>
  <c r="J183" i="13"/>
  <c r="I183" i="13"/>
  <c r="H183" i="13"/>
  <c r="G183" i="13"/>
  <c r="R179" i="13"/>
  <c r="P179" i="13"/>
  <c r="O179" i="13"/>
  <c r="N179" i="13"/>
  <c r="M179" i="13"/>
  <c r="L179" i="13"/>
  <c r="K179" i="13"/>
  <c r="J179" i="13"/>
  <c r="I179" i="13"/>
  <c r="H179" i="13"/>
  <c r="G179" i="13"/>
  <c r="R175" i="13"/>
  <c r="P175" i="13"/>
  <c r="O175" i="13"/>
  <c r="N175" i="13"/>
  <c r="M175" i="13"/>
  <c r="L175" i="13"/>
  <c r="K175" i="13"/>
  <c r="J175" i="13"/>
  <c r="I175" i="13"/>
  <c r="H175" i="13"/>
  <c r="G175" i="13"/>
  <c r="R171" i="13"/>
  <c r="P171" i="13"/>
  <c r="O171" i="13"/>
  <c r="N171" i="13"/>
  <c r="M171" i="13"/>
  <c r="L171" i="13"/>
  <c r="K171" i="13"/>
  <c r="J171" i="13"/>
  <c r="I171" i="13"/>
  <c r="H171" i="13"/>
  <c r="G171" i="13"/>
  <c r="R164" i="13"/>
  <c r="P164" i="13"/>
  <c r="O164" i="13"/>
  <c r="N164" i="13"/>
  <c r="M164" i="13"/>
  <c r="L164" i="13"/>
  <c r="K164" i="13"/>
  <c r="J164" i="13"/>
  <c r="I164" i="13"/>
  <c r="H164" i="13"/>
  <c r="G164" i="13"/>
  <c r="R162" i="13"/>
  <c r="P162" i="13"/>
  <c r="O162" i="13"/>
  <c r="N162" i="13"/>
  <c r="M162" i="13"/>
  <c r="L162" i="13"/>
  <c r="K162" i="13"/>
  <c r="J162" i="13"/>
  <c r="I162" i="13"/>
  <c r="H162" i="13"/>
  <c r="G162" i="13"/>
  <c r="R160" i="13"/>
  <c r="P160" i="13"/>
  <c r="O160" i="13"/>
  <c r="N160" i="13"/>
  <c r="M160" i="13"/>
  <c r="L160" i="13"/>
  <c r="K160" i="13"/>
  <c r="J160" i="13"/>
  <c r="I160" i="13"/>
  <c r="H160" i="13"/>
  <c r="G160" i="13"/>
  <c r="R155" i="13"/>
  <c r="P155" i="13"/>
  <c r="O155" i="13"/>
  <c r="N155" i="13"/>
  <c r="M155" i="13"/>
  <c r="L155" i="13"/>
  <c r="K155" i="13"/>
  <c r="J155" i="13"/>
  <c r="I155" i="13"/>
  <c r="H155" i="13"/>
  <c r="G155" i="13"/>
  <c r="R148" i="13"/>
  <c r="P148" i="13"/>
  <c r="O148" i="13"/>
  <c r="N148" i="13"/>
  <c r="M148" i="13"/>
  <c r="L148" i="13"/>
  <c r="K148" i="13"/>
  <c r="J148" i="13"/>
  <c r="I148" i="13"/>
  <c r="H148" i="13"/>
  <c r="G148" i="13"/>
  <c r="R144" i="13"/>
  <c r="P144" i="13"/>
  <c r="O144" i="13"/>
  <c r="N144" i="13"/>
  <c r="M144" i="13"/>
  <c r="L144" i="13"/>
  <c r="K144" i="13"/>
  <c r="J144" i="13"/>
  <c r="I144" i="13"/>
  <c r="H144" i="13"/>
  <c r="G144" i="13"/>
  <c r="R134" i="13"/>
  <c r="P134" i="13"/>
  <c r="O134" i="13"/>
  <c r="N134" i="13"/>
  <c r="M134" i="13"/>
  <c r="L134" i="13"/>
  <c r="K134" i="13"/>
  <c r="J134" i="13"/>
  <c r="I134" i="13"/>
  <c r="H134" i="13"/>
  <c r="G134" i="13"/>
  <c r="R130" i="13"/>
  <c r="P130" i="13"/>
  <c r="O130" i="13"/>
  <c r="N130" i="13"/>
  <c r="M130" i="13"/>
  <c r="L130" i="13"/>
  <c r="K130" i="13"/>
  <c r="J130" i="13"/>
  <c r="I130" i="13"/>
  <c r="H130" i="13"/>
  <c r="G130" i="13"/>
  <c r="R126" i="13"/>
  <c r="P126" i="13"/>
  <c r="O126" i="13"/>
  <c r="N126" i="13"/>
  <c r="M126" i="13"/>
  <c r="L126" i="13"/>
  <c r="K126" i="13"/>
  <c r="J126" i="13"/>
  <c r="I126" i="13"/>
  <c r="H126" i="13"/>
  <c r="G126" i="13"/>
  <c r="R121" i="13"/>
  <c r="P121" i="13"/>
  <c r="O121" i="13"/>
  <c r="N121" i="13"/>
  <c r="M121" i="13"/>
  <c r="L121" i="13"/>
  <c r="K121" i="13"/>
  <c r="J121" i="13"/>
  <c r="I121" i="13"/>
  <c r="H121" i="13"/>
  <c r="G121" i="13"/>
  <c r="R117" i="13"/>
  <c r="P117" i="13"/>
  <c r="O117" i="13"/>
  <c r="N117" i="13"/>
  <c r="M117" i="13"/>
  <c r="L117" i="13"/>
  <c r="K117" i="13"/>
  <c r="J117" i="13"/>
  <c r="I117" i="13"/>
  <c r="H117" i="13"/>
  <c r="G117" i="13"/>
  <c r="R115" i="13"/>
  <c r="P115" i="13"/>
  <c r="O115" i="13"/>
  <c r="N115" i="13"/>
  <c r="M115" i="13"/>
  <c r="L115" i="13"/>
  <c r="K115" i="13"/>
  <c r="J115" i="13"/>
  <c r="I115" i="13"/>
  <c r="H115" i="13"/>
  <c r="G115" i="13"/>
  <c r="R113" i="13"/>
  <c r="P113" i="13"/>
  <c r="O113" i="13"/>
  <c r="N113" i="13"/>
  <c r="M113" i="13"/>
  <c r="L113" i="13"/>
  <c r="K113" i="13"/>
  <c r="J113" i="13"/>
  <c r="I113" i="13"/>
  <c r="H113" i="13"/>
  <c r="G113" i="13"/>
  <c r="R103" i="13"/>
  <c r="P103" i="13"/>
  <c r="O103" i="13"/>
  <c r="N103" i="13"/>
  <c r="M103" i="13"/>
  <c r="L103" i="13"/>
  <c r="K103" i="13"/>
  <c r="J103" i="13"/>
  <c r="I103" i="13"/>
  <c r="H103" i="13"/>
  <c r="G103" i="13"/>
  <c r="R100" i="13"/>
  <c r="P100" i="13"/>
  <c r="O100" i="13"/>
  <c r="N100" i="13"/>
  <c r="M100" i="13"/>
  <c r="L100" i="13"/>
  <c r="K100" i="13"/>
  <c r="J100" i="13"/>
  <c r="I100" i="13"/>
  <c r="H100" i="13"/>
  <c r="G100" i="13"/>
  <c r="R93" i="13"/>
  <c r="P93" i="13"/>
  <c r="O93" i="13"/>
  <c r="N93" i="13"/>
  <c r="M93" i="13"/>
  <c r="L93" i="13"/>
  <c r="K93" i="13"/>
  <c r="J93" i="13"/>
  <c r="I93" i="13"/>
  <c r="H93" i="13"/>
  <c r="G93" i="13"/>
  <c r="H83" i="13"/>
  <c r="P90" i="13"/>
  <c r="O90" i="13"/>
  <c r="N90" i="13"/>
  <c r="M90" i="13"/>
  <c r="L90" i="13"/>
  <c r="K90" i="13"/>
  <c r="J90" i="13"/>
  <c r="I90" i="13"/>
  <c r="H90" i="13"/>
  <c r="G90" i="13"/>
  <c r="R90" i="13"/>
  <c r="H86" i="13"/>
  <c r="R86" i="13"/>
  <c r="R83" i="13"/>
  <c r="P86" i="13"/>
  <c r="P83" i="13"/>
  <c r="O86" i="13"/>
  <c r="O83" i="13"/>
  <c r="N86" i="13"/>
  <c r="N83" i="13"/>
  <c r="M86" i="13"/>
  <c r="M83" i="13"/>
  <c r="L86" i="13"/>
  <c r="L83" i="13"/>
  <c r="K86" i="13"/>
  <c r="K83" i="13"/>
  <c r="J86" i="13"/>
  <c r="J83" i="13"/>
  <c r="I86" i="13"/>
  <c r="I83" i="13"/>
  <c r="G86" i="13"/>
  <c r="G83" i="13"/>
  <c r="R75" i="13"/>
  <c r="R69" i="13"/>
  <c r="P75" i="13"/>
  <c r="P69" i="13"/>
  <c r="O75" i="13"/>
  <c r="O69" i="13"/>
  <c r="N75" i="13"/>
  <c r="N69" i="13"/>
  <c r="M75" i="13"/>
  <c r="M69" i="13"/>
  <c r="L75" i="13"/>
  <c r="L69" i="13"/>
  <c r="K75" i="13"/>
  <c r="K69" i="13"/>
  <c r="J75" i="13"/>
  <c r="J69" i="13"/>
  <c r="I75" i="13"/>
  <c r="I69" i="13"/>
  <c r="H69" i="13"/>
  <c r="G75" i="13"/>
  <c r="G69" i="13"/>
  <c r="H63" i="13"/>
  <c r="R63" i="13"/>
  <c r="P63" i="13"/>
  <c r="O63" i="13"/>
  <c r="N63" i="13"/>
  <c r="M63" i="13"/>
  <c r="L63" i="13"/>
  <c r="K63" i="13"/>
  <c r="J63" i="13"/>
  <c r="I63" i="13"/>
  <c r="G63" i="13"/>
  <c r="R59" i="13"/>
  <c r="R56" i="13"/>
  <c r="P59" i="13"/>
  <c r="P56" i="13"/>
  <c r="O59" i="13"/>
  <c r="O56" i="13"/>
  <c r="L59" i="13"/>
  <c r="L56" i="13"/>
  <c r="K59" i="13"/>
  <c r="K56" i="13"/>
  <c r="J59" i="13"/>
  <c r="J56" i="13"/>
  <c r="I59" i="13"/>
  <c r="I56" i="13"/>
  <c r="G59" i="13"/>
  <c r="G56" i="13"/>
  <c r="K51" i="13"/>
  <c r="K46" i="13"/>
  <c r="R51" i="13"/>
  <c r="R46" i="13"/>
  <c r="R39" i="13"/>
  <c r="P51" i="13"/>
  <c r="P46" i="13"/>
  <c r="P39" i="13"/>
  <c r="O51" i="13"/>
  <c r="O46" i="13"/>
  <c r="O39" i="13"/>
  <c r="N51" i="13"/>
  <c r="N46" i="13"/>
  <c r="N39" i="13"/>
  <c r="M51" i="13"/>
  <c r="M46" i="13"/>
  <c r="M39" i="13"/>
  <c r="L51" i="13"/>
  <c r="L46" i="13"/>
  <c r="L39" i="13"/>
  <c r="J51" i="13"/>
  <c r="J46" i="13"/>
  <c r="J39" i="13"/>
  <c r="I51" i="13"/>
  <c r="I46" i="13"/>
  <c r="I39" i="13"/>
  <c r="H51" i="13"/>
  <c r="H46" i="13"/>
  <c r="H39" i="13"/>
  <c r="G51" i="13"/>
  <c r="G46" i="13"/>
  <c r="G39" i="13"/>
  <c r="B202" i="13"/>
  <c r="Z202" i="13" s="1"/>
  <c r="B203" i="13"/>
  <c r="Z203" i="13" s="1"/>
  <c r="J123" i="13" l="1"/>
  <c r="M66" i="13"/>
  <c r="K110" i="13"/>
  <c r="J152" i="13"/>
  <c r="J110" i="13"/>
  <c r="H123" i="13"/>
  <c r="N166" i="13"/>
  <c r="J66" i="13"/>
  <c r="O66" i="13"/>
  <c r="M97" i="13"/>
  <c r="M110" i="13"/>
  <c r="O110" i="13"/>
  <c r="R110" i="13"/>
  <c r="N66" i="13"/>
  <c r="I123" i="13"/>
  <c r="H66" i="13"/>
  <c r="R97" i="13"/>
  <c r="L110" i="13"/>
  <c r="I166" i="13"/>
  <c r="G66" i="13"/>
  <c r="P66" i="13"/>
  <c r="N110" i="13"/>
  <c r="J166" i="13"/>
  <c r="O123" i="13"/>
  <c r="P110" i="13"/>
  <c r="R66" i="13"/>
  <c r="G110" i="13"/>
  <c r="J97" i="13"/>
  <c r="I66" i="13"/>
  <c r="R166" i="13"/>
  <c r="G97" i="13"/>
  <c r="I97" i="13"/>
  <c r="O97" i="13"/>
  <c r="M197" i="13"/>
  <c r="P97" i="13"/>
  <c r="P123" i="13"/>
  <c r="K66" i="13"/>
  <c r="H110" i="13"/>
  <c r="R123" i="13"/>
  <c r="H152" i="13"/>
  <c r="M166" i="13"/>
  <c r="K97" i="13"/>
  <c r="I110" i="13"/>
  <c r="L97" i="13"/>
  <c r="K152" i="13"/>
  <c r="L152" i="13"/>
  <c r="O166" i="13"/>
  <c r="M123" i="13"/>
  <c r="P166" i="13"/>
  <c r="L66" i="13"/>
  <c r="H166" i="13"/>
  <c r="H97" i="13"/>
  <c r="N97" i="13"/>
  <c r="I152" i="13"/>
  <c r="G123" i="13"/>
  <c r="G166" i="13"/>
  <c r="L197" i="13"/>
  <c r="I197" i="13"/>
  <c r="K123" i="13"/>
  <c r="K166" i="13"/>
  <c r="N197" i="13"/>
  <c r="J197" i="13"/>
  <c r="L123" i="13"/>
  <c r="N123" i="13"/>
  <c r="L166" i="13"/>
  <c r="O197" i="13"/>
  <c r="K197" i="13"/>
  <c r="R197" i="13"/>
  <c r="P197" i="13"/>
  <c r="M152" i="13"/>
  <c r="N152" i="13"/>
  <c r="O152" i="13"/>
  <c r="P152" i="13"/>
  <c r="R152" i="13"/>
  <c r="G152" i="13"/>
  <c r="AE95" i="13"/>
  <c r="AF95" i="13"/>
  <c r="AE96" i="13"/>
  <c r="AF96" i="13"/>
  <c r="H197" i="13"/>
  <c r="G197" i="13"/>
  <c r="F214" i="13" l="1"/>
  <c r="F189" i="13"/>
  <c r="F187" i="13"/>
  <c r="F192" i="13"/>
  <c r="F183" i="13"/>
  <c r="F179" i="13"/>
  <c r="F175" i="13"/>
  <c r="F169" i="13"/>
  <c r="F171" i="13"/>
  <c r="F164" i="13"/>
  <c r="F162" i="13"/>
  <c r="F160" i="13"/>
  <c r="F155" i="13"/>
  <c r="F148" i="13"/>
  <c r="F144" i="13"/>
  <c r="F134" i="13"/>
  <c r="F130" i="13"/>
  <c r="F126" i="13"/>
  <c r="F121" i="13"/>
  <c r="F117" i="13"/>
  <c r="F115" i="13"/>
  <c r="F113" i="13"/>
  <c r="F103" i="13"/>
  <c r="F100" i="13"/>
  <c r="F93" i="13"/>
  <c r="F90" i="13"/>
  <c r="F86" i="13"/>
  <c r="F83" i="13"/>
  <c r="F75" i="13"/>
  <c r="F69" i="13"/>
  <c r="F63" i="13"/>
  <c r="F59" i="13"/>
  <c r="F56" i="13"/>
  <c r="F51" i="13"/>
  <c r="F46" i="13"/>
  <c r="F39" i="13"/>
  <c r="AF227" i="5"/>
  <c r="AE227" i="5"/>
  <c r="AD227" i="5"/>
  <c r="AF226" i="5"/>
  <c r="AE226" i="5"/>
  <c r="AD226" i="5"/>
  <c r="AF225" i="5"/>
  <c r="AE225" i="5"/>
  <c r="AD225" i="5"/>
  <c r="AF224" i="5"/>
  <c r="AE224" i="5"/>
  <c r="AD224" i="5"/>
  <c r="AF223" i="5"/>
  <c r="AE223" i="5"/>
  <c r="AD223" i="5"/>
  <c r="AF222" i="5"/>
  <c r="AE222" i="5"/>
  <c r="AD222" i="5"/>
  <c r="AF221" i="5"/>
  <c r="AE221" i="5"/>
  <c r="AD221" i="5"/>
  <c r="AF220" i="5"/>
  <c r="AE220" i="5"/>
  <c r="AD220" i="5"/>
  <c r="AF219" i="5"/>
  <c r="AE219" i="5"/>
  <c r="AD219" i="5"/>
  <c r="AF218" i="5"/>
  <c r="AE218" i="5"/>
  <c r="AD218" i="5"/>
  <c r="AF217" i="5"/>
  <c r="AE217" i="5"/>
  <c r="AD217" i="5"/>
  <c r="AF216" i="5"/>
  <c r="AE216" i="5"/>
  <c r="AD216" i="5"/>
  <c r="AF215" i="5"/>
  <c r="AE215" i="5"/>
  <c r="AD215" i="5"/>
  <c r="AF214" i="5"/>
  <c r="AE214" i="5"/>
  <c r="AD214" i="5"/>
  <c r="AF210" i="5"/>
  <c r="AE210" i="5"/>
  <c r="AD210" i="5"/>
  <c r="AF209" i="5"/>
  <c r="AE209" i="5"/>
  <c r="AD209" i="5"/>
  <c r="AF208" i="5"/>
  <c r="AE208" i="5"/>
  <c r="AD208" i="5"/>
  <c r="AF207" i="5"/>
  <c r="AE207" i="5"/>
  <c r="AD207" i="5"/>
  <c r="AF206" i="5"/>
  <c r="AE206" i="5"/>
  <c r="AD206" i="5"/>
  <c r="AF205" i="5"/>
  <c r="AE205" i="5"/>
  <c r="AD205" i="5"/>
  <c r="AF204" i="5"/>
  <c r="AE204" i="5"/>
  <c r="AD204" i="5"/>
  <c r="AF203" i="5"/>
  <c r="AE203" i="5"/>
  <c r="AD203" i="5"/>
  <c r="AF202" i="5"/>
  <c r="AE202" i="5"/>
  <c r="AD202" i="5"/>
  <c r="AF198" i="5"/>
  <c r="AE198" i="5"/>
  <c r="AD198" i="5"/>
  <c r="AF197" i="5"/>
  <c r="AE197" i="5"/>
  <c r="AD197" i="5"/>
  <c r="AF193" i="5"/>
  <c r="AE193" i="5"/>
  <c r="AD193" i="5"/>
  <c r="AF191" i="5"/>
  <c r="AE191" i="5"/>
  <c r="AD191" i="5"/>
  <c r="AF190" i="5"/>
  <c r="AE190" i="5"/>
  <c r="AD190" i="5"/>
  <c r="AF189" i="5"/>
  <c r="AE189" i="5"/>
  <c r="AD189" i="5"/>
  <c r="AF188" i="5"/>
  <c r="AE188" i="5"/>
  <c r="AD188" i="5"/>
  <c r="AF187" i="5"/>
  <c r="AE187" i="5"/>
  <c r="AD187" i="5"/>
  <c r="AF186" i="5"/>
  <c r="AE186" i="5"/>
  <c r="AD186" i="5"/>
  <c r="AF185" i="5"/>
  <c r="AE185" i="5"/>
  <c r="AD185" i="5"/>
  <c r="AF184" i="5"/>
  <c r="AE184" i="5"/>
  <c r="AD184" i="5"/>
  <c r="AF183" i="5"/>
  <c r="AE183" i="5"/>
  <c r="AD183" i="5"/>
  <c r="AF182" i="5"/>
  <c r="AE182" i="5"/>
  <c r="AD182" i="5"/>
  <c r="AF181" i="5"/>
  <c r="AE181" i="5"/>
  <c r="AD181" i="5"/>
  <c r="AF180" i="5"/>
  <c r="AE180" i="5"/>
  <c r="AD180" i="5"/>
  <c r="AF179" i="5"/>
  <c r="AE179" i="5"/>
  <c r="AD179" i="5"/>
  <c r="AF178" i="5"/>
  <c r="AE178" i="5"/>
  <c r="AD178" i="5"/>
  <c r="AF177" i="5"/>
  <c r="AE177" i="5"/>
  <c r="AD177" i="5"/>
  <c r="AF176" i="5"/>
  <c r="AE176" i="5"/>
  <c r="AD176" i="5"/>
  <c r="AF175" i="5"/>
  <c r="AE175" i="5"/>
  <c r="AD175" i="5"/>
  <c r="AF174" i="5"/>
  <c r="AE174" i="5"/>
  <c r="AD174" i="5"/>
  <c r="AF172" i="5"/>
  <c r="AE172" i="5"/>
  <c r="AD172" i="5"/>
  <c r="AF171" i="5"/>
  <c r="AE171" i="5"/>
  <c r="AD171" i="5"/>
  <c r="AF170" i="5"/>
  <c r="AE170" i="5"/>
  <c r="AD170" i="5"/>
  <c r="AF169" i="5"/>
  <c r="AE169" i="5"/>
  <c r="AD169" i="5"/>
  <c r="AF168" i="5"/>
  <c r="AE168" i="5"/>
  <c r="AD168" i="5"/>
  <c r="AF166" i="5"/>
  <c r="AE166" i="5"/>
  <c r="AD166" i="5"/>
  <c r="AF165" i="5"/>
  <c r="AE165" i="5"/>
  <c r="AD165" i="5"/>
  <c r="AF161" i="5"/>
  <c r="AE161" i="5"/>
  <c r="AD161" i="5"/>
  <c r="AF160" i="5"/>
  <c r="AE160" i="5"/>
  <c r="AD160" i="5"/>
  <c r="AF159" i="5"/>
  <c r="AE159" i="5"/>
  <c r="AD159" i="5"/>
  <c r="AF158" i="5"/>
  <c r="AE158" i="5"/>
  <c r="AD158" i="5"/>
  <c r="AF157" i="5"/>
  <c r="AE157" i="5"/>
  <c r="AD157" i="5"/>
  <c r="AF156" i="5"/>
  <c r="AE156" i="5"/>
  <c r="AD156" i="5"/>
  <c r="AF154" i="5"/>
  <c r="AE154" i="5"/>
  <c r="AD154" i="5"/>
  <c r="AF153" i="5"/>
  <c r="AE153" i="5"/>
  <c r="AD153" i="5"/>
  <c r="AF152" i="5"/>
  <c r="AE152" i="5"/>
  <c r="AD152" i="5"/>
  <c r="AF150" i="5"/>
  <c r="AE150" i="5"/>
  <c r="AD150" i="5"/>
  <c r="AF146" i="5"/>
  <c r="AE146" i="5"/>
  <c r="AD146" i="5"/>
  <c r="AF145" i="5"/>
  <c r="AE145" i="5"/>
  <c r="AD145" i="5"/>
  <c r="AF144" i="5"/>
  <c r="AE144" i="5"/>
  <c r="AD144" i="5"/>
  <c r="AF143" i="5"/>
  <c r="AE143" i="5"/>
  <c r="AD143" i="5"/>
  <c r="AF142" i="5"/>
  <c r="AE142" i="5"/>
  <c r="AD142" i="5"/>
  <c r="AF141" i="5"/>
  <c r="AE141" i="5"/>
  <c r="AD141" i="5"/>
  <c r="AF140" i="5"/>
  <c r="AE140" i="5"/>
  <c r="AD140" i="5"/>
  <c r="AF138" i="5"/>
  <c r="AE138" i="5"/>
  <c r="AD138" i="5"/>
  <c r="AF136" i="5"/>
  <c r="AE136" i="5"/>
  <c r="AD136" i="5"/>
  <c r="AF135" i="5"/>
  <c r="AE135" i="5"/>
  <c r="AD135" i="5"/>
  <c r="AF134" i="5"/>
  <c r="AE134" i="5"/>
  <c r="AD134" i="5"/>
  <c r="AF133" i="5"/>
  <c r="AE133" i="5"/>
  <c r="AD133" i="5"/>
  <c r="AF132" i="5"/>
  <c r="AE132" i="5"/>
  <c r="AD132" i="5"/>
  <c r="AF131" i="5"/>
  <c r="AE131" i="5"/>
  <c r="AD131" i="5"/>
  <c r="AF130" i="5"/>
  <c r="AE130" i="5"/>
  <c r="AD130" i="5"/>
  <c r="AF129" i="5"/>
  <c r="AE129" i="5"/>
  <c r="AD129" i="5"/>
  <c r="AF128" i="5"/>
  <c r="AE128" i="5"/>
  <c r="AD128" i="5"/>
  <c r="AF127" i="5"/>
  <c r="AE127" i="5"/>
  <c r="AD127" i="5"/>
  <c r="AF126" i="5"/>
  <c r="AE126" i="5"/>
  <c r="AD126" i="5"/>
  <c r="AF125" i="5"/>
  <c r="AE125" i="5"/>
  <c r="AD125" i="5"/>
  <c r="AF124" i="5"/>
  <c r="AE124" i="5"/>
  <c r="AD124" i="5"/>
  <c r="AF123" i="5"/>
  <c r="AE123" i="5"/>
  <c r="AD123" i="5"/>
  <c r="AF122" i="5"/>
  <c r="AE122" i="5"/>
  <c r="AD122" i="5"/>
  <c r="AF121" i="5"/>
  <c r="AE121" i="5"/>
  <c r="AD121" i="5"/>
  <c r="AF120" i="5"/>
  <c r="AE120" i="5"/>
  <c r="AD120" i="5"/>
  <c r="AF116" i="5"/>
  <c r="AE116" i="5"/>
  <c r="AD116" i="5"/>
  <c r="AF115" i="5"/>
  <c r="AE115" i="5"/>
  <c r="AD115" i="5"/>
  <c r="AF114" i="5"/>
  <c r="AE114" i="5"/>
  <c r="AD114" i="5"/>
  <c r="AF113" i="5"/>
  <c r="AE113" i="5"/>
  <c r="AD113" i="5"/>
  <c r="AF112" i="5"/>
  <c r="AE112" i="5"/>
  <c r="AD112" i="5"/>
  <c r="AF111" i="5"/>
  <c r="AE111" i="5"/>
  <c r="AD111" i="5"/>
  <c r="AF110" i="5"/>
  <c r="AE110" i="5"/>
  <c r="AD110" i="5"/>
  <c r="AF109" i="5"/>
  <c r="AE109" i="5"/>
  <c r="AD109" i="5"/>
  <c r="AF108" i="5"/>
  <c r="AE108" i="5"/>
  <c r="AD108" i="5"/>
  <c r="AF106" i="5"/>
  <c r="AE106" i="5"/>
  <c r="AD106" i="5"/>
  <c r="AF102" i="5"/>
  <c r="AE102" i="5"/>
  <c r="AD102" i="5"/>
  <c r="AF100" i="5"/>
  <c r="AE100" i="5"/>
  <c r="AD100" i="5"/>
  <c r="AF99" i="5"/>
  <c r="AE99" i="5"/>
  <c r="AD99" i="5"/>
  <c r="AF98" i="5"/>
  <c r="AE98" i="5"/>
  <c r="AD98" i="5"/>
  <c r="AF97" i="5"/>
  <c r="AE97" i="5"/>
  <c r="AD97" i="5"/>
  <c r="AF93" i="5"/>
  <c r="AE93" i="5"/>
  <c r="AD93" i="5"/>
  <c r="AF92" i="5"/>
  <c r="AE92" i="5"/>
  <c r="AD92" i="5"/>
  <c r="AF91" i="5"/>
  <c r="AE91" i="5"/>
  <c r="AD91" i="5"/>
  <c r="AF90" i="5"/>
  <c r="AE90" i="5"/>
  <c r="AD90" i="5"/>
  <c r="AF89" i="5"/>
  <c r="AE89" i="5"/>
  <c r="AD89" i="5"/>
  <c r="AF88" i="5"/>
  <c r="AE88" i="5"/>
  <c r="AD88" i="5"/>
  <c r="AF86" i="5"/>
  <c r="AE86" i="5"/>
  <c r="AD86" i="5"/>
  <c r="AF85" i="5"/>
  <c r="AE85" i="5"/>
  <c r="AD85" i="5"/>
  <c r="AF84" i="5"/>
  <c r="AE84" i="5"/>
  <c r="AD84" i="5"/>
  <c r="AF83" i="5"/>
  <c r="AE83" i="5"/>
  <c r="AD83" i="5"/>
  <c r="AF82" i="5"/>
  <c r="AE82" i="5"/>
  <c r="AD82" i="5"/>
  <c r="AF81" i="5"/>
  <c r="AE81" i="5"/>
  <c r="AD81" i="5"/>
  <c r="AF80" i="5"/>
  <c r="AE80" i="5"/>
  <c r="AD80" i="5"/>
  <c r="AF79" i="5"/>
  <c r="AE79" i="5"/>
  <c r="AD79" i="5"/>
  <c r="AF78" i="5"/>
  <c r="AE78" i="5"/>
  <c r="AD78" i="5"/>
  <c r="AF77" i="5"/>
  <c r="AE77" i="5"/>
  <c r="AD77" i="5"/>
  <c r="AF76" i="5"/>
  <c r="AE76" i="5"/>
  <c r="AD76" i="5"/>
  <c r="AF75" i="5"/>
  <c r="AE75" i="5"/>
  <c r="AD75" i="5"/>
  <c r="AF74" i="5"/>
  <c r="AE74" i="5"/>
  <c r="AD74" i="5"/>
  <c r="AF72" i="5"/>
  <c r="AE72" i="5"/>
  <c r="AD72" i="5"/>
  <c r="AF70" i="5"/>
  <c r="AE70" i="5"/>
  <c r="AD70" i="5"/>
  <c r="AF69" i="5"/>
  <c r="AE69" i="5"/>
  <c r="AD69" i="5"/>
  <c r="AF68" i="5"/>
  <c r="AE68" i="5"/>
  <c r="AD68" i="5"/>
  <c r="AF67" i="5"/>
  <c r="AE67" i="5"/>
  <c r="AD67" i="5"/>
  <c r="AF63" i="5"/>
  <c r="AE63" i="5"/>
  <c r="AD63" i="5"/>
  <c r="AF62" i="5"/>
  <c r="AE62" i="5"/>
  <c r="AD62" i="5"/>
  <c r="AF61" i="5"/>
  <c r="AE61" i="5"/>
  <c r="AD61" i="5"/>
  <c r="AF60" i="5"/>
  <c r="AE60" i="5"/>
  <c r="AD60" i="5"/>
  <c r="AF59" i="5"/>
  <c r="AE59" i="5"/>
  <c r="AD59" i="5"/>
  <c r="AF58" i="5"/>
  <c r="AE58" i="5"/>
  <c r="AD58" i="5"/>
  <c r="AF57" i="5"/>
  <c r="AE57" i="5"/>
  <c r="AD57" i="5"/>
  <c r="AF56" i="5"/>
  <c r="AE56" i="5"/>
  <c r="AD56" i="5"/>
  <c r="AF55" i="5"/>
  <c r="AE55" i="5"/>
  <c r="AD55" i="5"/>
  <c r="AF54" i="5"/>
  <c r="AE54" i="5"/>
  <c r="AD54" i="5"/>
  <c r="AF53" i="5"/>
  <c r="AE53" i="5"/>
  <c r="AD53" i="5"/>
  <c r="AF52" i="5"/>
  <c r="AE52" i="5"/>
  <c r="AD52" i="5"/>
  <c r="AF51" i="5"/>
  <c r="AE51" i="5"/>
  <c r="AD51" i="5"/>
  <c r="AF50" i="5"/>
  <c r="AE50" i="5"/>
  <c r="AD50" i="5"/>
  <c r="AF49" i="5"/>
  <c r="AE49" i="5"/>
  <c r="AD49" i="5"/>
  <c r="AF48" i="5"/>
  <c r="AE48" i="5"/>
  <c r="AD48" i="5"/>
  <c r="AF47" i="5"/>
  <c r="AE47" i="5"/>
  <c r="AD47" i="5"/>
  <c r="AF46" i="5"/>
  <c r="AE46" i="5"/>
  <c r="AD46" i="5"/>
  <c r="AF45" i="5"/>
  <c r="AE45" i="5"/>
  <c r="AD45" i="5"/>
  <c r="AF44" i="5"/>
  <c r="AE44" i="5"/>
  <c r="AD44" i="5"/>
  <c r="AF43" i="5"/>
  <c r="AE43" i="5"/>
  <c r="AD43" i="5"/>
  <c r="AF42" i="5"/>
  <c r="AE42" i="5"/>
  <c r="AD42" i="5"/>
  <c r="AF39" i="5"/>
  <c r="AE39" i="5"/>
  <c r="AD39" i="5"/>
  <c r="F97" i="13" l="1"/>
  <c r="F197" i="13"/>
  <c r="F166" i="13"/>
  <c r="F152" i="13"/>
  <c r="F123" i="13"/>
  <c r="F110" i="13"/>
  <c r="F66" i="13"/>
  <c r="G16" i="13"/>
  <c r="H16" i="13"/>
  <c r="I16" i="13"/>
  <c r="J16" i="13"/>
  <c r="K16" i="13"/>
  <c r="L16" i="13"/>
  <c r="M16" i="13"/>
  <c r="N16" i="13"/>
  <c r="O16" i="13"/>
  <c r="P16" i="13"/>
  <c r="R16" i="13"/>
  <c r="G19" i="13"/>
  <c r="H19" i="13"/>
  <c r="I19" i="13"/>
  <c r="J19" i="13"/>
  <c r="K19" i="13"/>
  <c r="L19" i="13"/>
  <c r="M19" i="13"/>
  <c r="N19" i="13"/>
  <c r="O19" i="13"/>
  <c r="P19" i="13"/>
  <c r="R19" i="13"/>
  <c r="G26" i="13"/>
  <c r="H26" i="13"/>
  <c r="I26" i="13"/>
  <c r="J26" i="13"/>
  <c r="K26" i="13"/>
  <c r="L26" i="13"/>
  <c r="M26" i="13"/>
  <c r="N26" i="13"/>
  <c r="O26" i="13"/>
  <c r="P26" i="13"/>
  <c r="R26" i="13"/>
  <c r="G30" i="13"/>
  <c r="H30" i="13"/>
  <c r="I30" i="13"/>
  <c r="J30" i="13"/>
  <c r="K30" i="13"/>
  <c r="L30" i="13"/>
  <c r="M30" i="13"/>
  <c r="N30" i="13"/>
  <c r="O30" i="13"/>
  <c r="P30" i="13"/>
  <c r="R30" i="13"/>
  <c r="G10" i="13"/>
  <c r="H10" i="13"/>
  <c r="I10" i="13"/>
  <c r="J10" i="13"/>
  <c r="K10" i="13"/>
  <c r="L10" i="13"/>
  <c r="M10" i="13"/>
  <c r="N10" i="13"/>
  <c r="O10" i="13"/>
  <c r="P10" i="13"/>
  <c r="R10" i="13"/>
  <c r="F30" i="13"/>
  <c r="F26" i="13"/>
  <c r="F19" i="13"/>
  <c r="F16" i="13"/>
  <c r="F10" i="13"/>
  <c r="F36" i="13" s="1"/>
  <c r="N36" i="13" l="1"/>
  <c r="J36" i="13"/>
  <c r="R36" i="13"/>
  <c r="G36" i="13"/>
  <c r="M36" i="13"/>
  <c r="H36" i="13"/>
  <c r="L36" i="13"/>
  <c r="I36" i="13"/>
  <c r="P36" i="13"/>
  <c r="O36" i="13"/>
  <c r="K36" i="13"/>
  <c r="AD12" i="5"/>
  <c r="AE12" i="5"/>
  <c r="AF12" i="5"/>
  <c r="AD13" i="5"/>
  <c r="AE13" i="5"/>
  <c r="AF13" i="5"/>
  <c r="AD15" i="5"/>
  <c r="AE15" i="5"/>
  <c r="AF15" i="5"/>
  <c r="AD17" i="5"/>
  <c r="AE17" i="5"/>
  <c r="AF17" i="5"/>
  <c r="AD18" i="5"/>
  <c r="AE18" i="5"/>
  <c r="AF18" i="5"/>
  <c r="AD19" i="5"/>
  <c r="AE19" i="5"/>
  <c r="AF19" i="5"/>
  <c r="AD20" i="5"/>
  <c r="AE20" i="5"/>
  <c r="AF20" i="5"/>
  <c r="AD21" i="5"/>
  <c r="AE21" i="5"/>
  <c r="AF21" i="5"/>
  <c r="AD22" i="5"/>
  <c r="AE22" i="5"/>
  <c r="AF22" i="5"/>
  <c r="AD23" i="5"/>
  <c r="AE23" i="5"/>
  <c r="AF23" i="5"/>
  <c r="AD24" i="5"/>
  <c r="AE24" i="5"/>
  <c r="AF24" i="5"/>
  <c r="AD25" i="5"/>
  <c r="AE25" i="5"/>
  <c r="AF25" i="5"/>
  <c r="AD28" i="5"/>
  <c r="AE28" i="5"/>
  <c r="AF28" i="5"/>
  <c r="AD29" i="5"/>
  <c r="AE29" i="5"/>
  <c r="AF29" i="5"/>
  <c r="AD30" i="5"/>
  <c r="AE30" i="5"/>
  <c r="AF30" i="5"/>
  <c r="AD31" i="5"/>
  <c r="AE31" i="5"/>
  <c r="AF31" i="5"/>
  <c r="AD32" i="5"/>
  <c r="AE32" i="5"/>
  <c r="AF32" i="5"/>
  <c r="AD33" i="5"/>
  <c r="AE33" i="5"/>
  <c r="AF33" i="5"/>
  <c r="AD34" i="5"/>
  <c r="AE34" i="5"/>
  <c r="AF34" i="5"/>
  <c r="AD35" i="5"/>
  <c r="AE35" i="5"/>
  <c r="AF35" i="5"/>
  <c r="AC37" i="5"/>
  <c r="AC38" i="5"/>
  <c r="C198" i="5"/>
  <c r="D198" i="21" s="1"/>
  <c r="C166" i="5"/>
  <c r="D166" i="21" s="1"/>
  <c r="C153" i="5"/>
  <c r="C121" i="5"/>
  <c r="C116" i="5"/>
  <c r="D116" i="21" s="1"/>
  <c r="C112" i="5"/>
  <c r="C110" i="5"/>
  <c r="D110" i="21" s="1"/>
  <c r="C98" i="5"/>
  <c r="C68" i="5"/>
  <c r="C43" i="5"/>
  <c r="B218" i="13"/>
  <c r="Z218" i="13" s="1"/>
  <c r="B219" i="13"/>
  <c r="Z219" i="13" s="1"/>
  <c r="B220" i="13"/>
  <c r="Z220" i="13" s="1"/>
  <c r="B221" i="13"/>
  <c r="Z221" i="13" s="1"/>
  <c r="B222" i="13"/>
  <c r="Z222" i="13" s="1"/>
  <c r="B223" i="13"/>
  <c r="Z223" i="13" s="1"/>
  <c r="B224" i="13"/>
  <c r="Z224" i="13" s="1"/>
  <c r="B225" i="13"/>
  <c r="Z225" i="13" s="1"/>
  <c r="B226" i="13"/>
  <c r="Z226" i="13" s="1"/>
  <c r="B227" i="13"/>
  <c r="Z227" i="13" s="1"/>
  <c r="B228" i="13"/>
  <c r="Z228" i="13" s="1"/>
  <c r="B229" i="13"/>
  <c r="Z229" i="13" s="1"/>
  <c r="B230" i="13"/>
  <c r="Z230" i="13" s="1"/>
  <c r="B217" i="13"/>
  <c r="Z217" i="13" s="1"/>
  <c r="E227" i="13"/>
  <c r="E228" i="13"/>
  <c r="E229" i="13"/>
  <c r="E230" i="13"/>
  <c r="B211" i="13"/>
  <c r="C211" i="13" s="1"/>
  <c r="B208" i="13"/>
  <c r="C208" i="13" s="1"/>
  <c r="B204" i="13"/>
  <c r="C204" i="13" s="1"/>
  <c r="B200" i="13"/>
  <c r="C200" i="13" s="1"/>
  <c r="B192" i="13"/>
  <c r="C192" i="13" s="1"/>
  <c r="B189" i="13"/>
  <c r="C189" i="13" s="1"/>
  <c r="B187" i="13"/>
  <c r="C187" i="13" s="1"/>
  <c r="B183" i="13"/>
  <c r="C183" i="13" s="1"/>
  <c r="B179" i="13"/>
  <c r="C179" i="13" s="1"/>
  <c r="B175" i="13"/>
  <c r="C175" i="13" s="1"/>
  <c r="B171" i="13"/>
  <c r="C171" i="13" s="1"/>
  <c r="B169" i="13"/>
  <c r="C169" i="13" s="1"/>
  <c r="B164" i="13"/>
  <c r="C164" i="13" s="1"/>
  <c r="B162" i="13"/>
  <c r="C162" i="13" s="1"/>
  <c r="B160" i="13"/>
  <c r="C160" i="13" s="1"/>
  <c r="B155" i="13"/>
  <c r="C155" i="13" s="1"/>
  <c r="B148" i="13"/>
  <c r="C148" i="13" s="1"/>
  <c r="B144" i="13"/>
  <c r="C144" i="13" s="1"/>
  <c r="B138" i="13"/>
  <c r="C138" i="13" s="1"/>
  <c r="B134" i="13"/>
  <c r="C134" i="13" s="1"/>
  <c r="B130" i="13"/>
  <c r="C130" i="13" s="1"/>
  <c r="B126" i="13"/>
  <c r="C126" i="13" s="1"/>
  <c r="B121" i="13"/>
  <c r="C121" i="13" s="1"/>
  <c r="B117" i="13"/>
  <c r="C117" i="13" s="1"/>
  <c r="B115" i="13"/>
  <c r="C115" i="13" s="1"/>
  <c r="B113" i="13"/>
  <c r="C113" i="13" s="1"/>
  <c r="B103" i="13"/>
  <c r="C103" i="13" s="1"/>
  <c r="B100" i="13"/>
  <c r="C100" i="13" s="1"/>
  <c r="B93" i="13"/>
  <c r="C93" i="13" s="1"/>
  <c r="B90" i="13"/>
  <c r="C90" i="13" s="1"/>
  <c r="B86" i="13"/>
  <c r="C86" i="13" s="1"/>
  <c r="B83" i="13"/>
  <c r="C83" i="13" s="1"/>
  <c r="B79" i="13"/>
  <c r="C79" i="13" s="1"/>
  <c r="B75" i="13"/>
  <c r="C75" i="13" s="1"/>
  <c r="B69" i="13"/>
  <c r="C69" i="13" s="1"/>
  <c r="B63" i="13"/>
  <c r="C63" i="13" s="1"/>
  <c r="B59" i="13"/>
  <c r="C59" i="13" s="1"/>
  <c r="B56" i="13"/>
  <c r="C56" i="13" s="1"/>
  <c r="B51" i="13"/>
  <c r="C51" i="13" s="1"/>
  <c r="B46" i="13"/>
  <c r="C46" i="13" s="1"/>
  <c r="B39" i="13"/>
  <c r="C39" i="13" s="1"/>
  <c r="B30" i="13"/>
  <c r="C30" i="13" s="1"/>
  <c r="B26" i="13"/>
  <c r="C26" i="13" s="1"/>
  <c r="B19" i="13"/>
  <c r="C19" i="13" s="1"/>
  <c r="B16" i="13"/>
  <c r="C16" i="13" s="1"/>
  <c r="C17" i="13" s="1"/>
  <c r="C18" i="13" s="1"/>
  <c r="B10" i="13"/>
  <c r="B212" i="13"/>
  <c r="Z212" i="13" s="1"/>
  <c r="B213" i="13"/>
  <c r="Z213" i="13" s="1"/>
  <c r="B209" i="13"/>
  <c r="Z209" i="13" s="1"/>
  <c r="W209" i="13" s="1"/>
  <c r="B210" i="13"/>
  <c r="Z210" i="13" s="1"/>
  <c r="B205" i="13"/>
  <c r="Z205" i="13" s="1"/>
  <c r="W205" i="13" s="1"/>
  <c r="B206" i="13"/>
  <c r="Z206" i="13" s="1"/>
  <c r="W206" i="13" s="1"/>
  <c r="B201" i="13"/>
  <c r="Z201" i="13" s="1"/>
  <c r="B194" i="13"/>
  <c r="Z194" i="13" s="1"/>
  <c r="B196" i="13"/>
  <c r="Z196" i="13" s="1"/>
  <c r="B191" i="13"/>
  <c r="Z191" i="13" s="1"/>
  <c r="Z189" i="13" s="1"/>
  <c r="B188" i="13"/>
  <c r="Z188" i="13" s="1"/>
  <c r="Z187" i="13" s="1"/>
  <c r="B185" i="13"/>
  <c r="Z185" i="13" s="1"/>
  <c r="B186" i="13"/>
  <c r="Z186" i="13" s="1"/>
  <c r="B181" i="13"/>
  <c r="Z181" i="13" s="1"/>
  <c r="B182" i="13"/>
  <c r="Z182" i="13" s="1"/>
  <c r="B177" i="13"/>
  <c r="Z177" i="13" s="1"/>
  <c r="B178" i="13"/>
  <c r="Z178" i="13" s="1"/>
  <c r="B173" i="13"/>
  <c r="Z173" i="13" s="1"/>
  <c r="B174" i="13"/>
  <c r="Z174" i="13" s="1"/>
  <c r="B170" i="13"/>
  <c r="Z170" i="13" s="1"/>
  <c r="Z169" i="13" s="1"/>
  <c r="B165" i="13"/>
  <c r="Z165" i="13" s="1"/>
  <c r="Z164" i="13" s="1"/>
  <c r="B163" i="13"/>
  <c r="Z163" i="13" s="1"/>
  <c r="Z162" i="13" s="1"/>
  <c r="B161" i="13"/>
  <c r="Z161" i="13" s="1"/>
  <c r="Z160" i="13" s="1"/>
  <c r="B156" i="13"/>
  <c r="Z156" i="13" s="1"/>
  <c r="B157" i="13"/>
  <c r="Z157" i="13" s="1"/>
  <c r="B158" i="13"/>
  <c r="Z158" i="13" s="1"/>
  <c r="B149" i="13"/>
  <c r="Z149" i="13" s="1"/>
  <c r="B150" i="13"/>
  <c r="Z150" i="13" s="1"/>
  <c r="B151" i="13"/>
  <c r="Z151" i="13" s="1"/>
  <c r="B145" i="13"/>
  <c r="Z145" i="13" s="1"/>
  <c r="B146" i="13"/>
  <c r="B147" i="13"/>
  <c r="Z147" i="13" s="1"/>
  <c r="B140" i="13"/>
  <c r="Z140" i="13" s="1"/>
  <c r="B141" i="13"/>
  <c r="Z141" i="13" s="1"/>
  <c r="B142" i="13"/>
  <c r="Z142" i="13" s="1"/>
  <c r="B136" i="13"/>
  <c r="Z136" i="13" s="1"/>
  <c r="B137" i="13"/>
  <c r="Z137" i="13" s="1"/>
  <c r="B132" i="13"/>
  <c r="Z132" i="13" s="1"/>
  <c r="B133" i="13"/>
  <c r="Z133" i="13" s="1"/>
  <c r="B128" i="13"/>
  <c r="Z128" i="13" s="1"/>
  <c r="B129" i="13"/>
  <c r="Z129" i="13" s="1"/>
  <c r="B122" i="13"/>
  <c r="Z122" i="13" s="1"/>
  <c r="Z121" i="13" s="1"/>
  <c r="B118" i="13"/>
  <c r="Z118" i="13" s="1"/>
  <c r="B119" i="13"/>
  <c r="Z119" i="13" s="1"/>
  <c r="B120" i="13"/>
  <c r="Z120" i="13" s="1"/>
  <c r="B116" i="13"/>
  <c r="Z116" i="13" s="1"/>
  <c r="Z115" i="13" s="1"/>
  <c r="B114" i="13"/>
  <c r="Z114" i="13" s="1"/>
  <c r="Z113" i="13" s="1"/>
  <c r="B105" i="13"/>
  <c r="Z105" i="13" s="1"/>
  <c r="B101" i="13"/>
  <c r="Z101" i="13" s="1"/>
  <c r="B102" i="13"/>
  <c r="Z102" i="13" s="1"/>
  <c r="B94" i="13"/>
  <c r="Z94" i="13" s="1"/>
  <c r="Z93" i="13" s="1"/>
  <c r="B91" i="13"/>
  <c r="Z91" i="13" s="1"/>
  <c r="B92" i="13"/>
  <c r="Z92" i="13" s="1"/>
  <c r="B87" i="13"/>
  <c r="Z87" i="13" s="1"/>
  <c r="B89" i="13"/>
  <c r="Z89" i="13" s="1"/>
  <c r="B84" i="13"/>
  <c r="Z84" i="13" s="1"/>
  <c r="B85" i="13"/>
  <c r="Z85" i="13" s="1"/>
  <c r="B80" i="13"/>
  <c r="Z80" i="13" s="1"/>
  <c r="W80" i="13" s="1"/>
  <c r="W81" i="13" s="1"/>
  <c r="B81" i="13"/>
  <c r="Z81" i="13" s="1"/>
  <c r="B76" i="13"/>
  <c r="Z76" i="13" s="1"/>
  <c r="B77" i="13"/>
  <c r="Z77" i="13" s="1"/>
  <c r="B78" i="13"/>
  <c r="Z78" i="13" s="1"/>
  <c r="B70" i="13"/>
  <c r="Z70" i="13" s="1"/>
  <c r="B71" i="13"/>
  <c r="Z71" i="13" s="1"/>
  <c r="B72" i="13"/>
  <c r="Z72" i="13" s="1"/>
  <c r="B73" i="13"/>
  <c r="Z73" i="13" s="1"/>
  <c r="B74" i="13"/>
  <c r="Z74" i="13" s="1"/>
  <c r="B64" i="13"/>
  <c r="Z64" i="13" s="1"/>
  <c r="Z63" i="13" s="1"/>
  <c r="B60" i="13"/>
  <c r="Z60" i="13" s="1"/>
  <c r="B61" i="13"/>
  <c r="Z61" i="13" s="1"/>
  <c r="B58" i="13"/>
  <c r="Z58" i="13" s="1"/>
  <c r="Z56" i="13" s="1"/>
  <c r="B52" i="13"/>
  <c r="Z52" i="13" s="1"/>
  <c r="B53" i="13"/>
  <c r="Z53" i="13" s="1"/>
  <c r="B54" i="13"/>
  <c r="Z54" i="13" s="1"/>
  <c r="B48" i="13"/>
  <c r="Z48" i="13" s="1"/>
  <c r="B49" i="13"/>
  <c r="Z49" i="13" s="1"/>
  <c r="B50" i="13"/>
  <c r="Z50" i="13" s="1"/>
  <c r="B41" i="13"/>
  <c r="Z41" i="13" s="1"/>
  <c r="B42" i="13"/>
  <c r="Z42" i="13" s="1"/>
  <c r="B43" i="13"/>
  <c r="Z43" i="13" s="1"/>
  <c r="B44" i="13"/>
  <c r="Z44" i="13" s="1"/>
  <c r="B45" i="13"/>
  <c r="Z45" i="13" s="1"/>
  <c r="B31" i="13"/>
  <c r="Z31" i="13" s="1"/>
  <c r="B32" i="13"/>
  <c r="Z32" i="13" s="1"/>
  <c r="B33" i="13"/>
  <c r="Z33" i="13" s="1"/>
  <c r="B27" i="13"/>
  <c r="Z27" i="13" s="1"/>
  <c r="B28" i="13"/>
  <c r="Z28" i="13" s="1"/>
  <c r="B29" i="13"/>
  <c r="Z29" i="13" s="1"/>
  <c r="B20" i="13"/>
  <c r="Z20" i="13" s="1"/>
  <c r="B21" i="13"/>
  <c r="Z21" i="13" s="1"/>
  <c r="B22" i="13"/>
  <c r="Z22" i="13" s="1"/>
  <c r="B25" i="13"/>
  <c r="Z25" i="13" s="1"/>
  <c r="B17" i="13"/>
  <c r="Z17" i="13" s="1"/>
  <c r="B18" i="13"/>
  <c r="Z18" i="13" s="1"/>
  <c r="B11" i="13"/>
  <c r="B12" i="13"/>
  <c r="Z12" i="13" s="1"/>
  <c r="B13" i="13"/>
  <c r="B14" i="13"/>
  <c r="Z14" i="13" s="1"/>
  <c r="B15" i="13"/>
  <c r="Z15" i="13" s="1"/>
  <c r="Z146" i="13" l="1"/>
  <c r="V14" i="5"/>
  <c r="V14" i="21" s="1"/>
  <c r="I14" i="5"/>
  <c r="I14" i="21" s="1"/>
  <c r="H14" i="5"/>
  <c r="H14" i="21" s="1"/>
  <c r="B54" i="11"/>
  <c r="E14" i="5"/>
  <c r="E14" i="21" s="1"/>
  <c r="O14" i="5"/>
  <c r="O14" i="21" s="1"/>
  <c r="P14" i="5"/>
  <c r="P14" i="21" s="1"/>
  <c r="W14" i="5"/>
  <c r="W14" i="21" s="1"/>
  <c r="O73" i="5"/>
  <c r="B63" i="11"/>
  <c r="W73" i="5"/>
  <c r="V73" i="5"/>
  <c r="P73" i="5"/>
  <c r="I73" i="5"/>
  <c r="H73" i="5"/>
  <c r="E73" i="5"/>
  <c r="E71" i="5"/>
  <c r="E173" i="5"/>
  <c r="H177" i="5"/>
  <c r="T55" i="11"/>
  <c r="T67" i="11"/>
  <c r="T79" i="11"/>
  <c r="J72" i="11"/>
  <c r="W108" i="5"/>
  <c r="H152" i="5"/>
  <c r="J69" i="11"/>
  <c r="I108" i="5"/>
  <c r="T73" i="11"/>
  <c r="W152" i="5"/>
  <c r="T64" i="11"/>
  <c r="T56" i="11"/>
  <c r="T68" i="11"/>
  <c r="T80" i="11"/>
  <c r="J71" i="11"/>
  <c r="V108" i="5"/>
  <c r="E152" i="5"/>
  <c r="O108" i="5"/>
  <c r="T72" i="11"/>
  <c r="J62" i="11"/>
  <c r="J55" i="11"/>
  <c r="J79" i="11"/>
  <c r="J76" i="11"/>
  <c r="E124" i="5"/>
  <c r="T57" i="11"/>
  <c r="T69" i="11"/>
  <c r="T81" i="11"/>
  <c r="P108" i="5"/>
  <c r="T54" i="11"/>
  <c r="T74" i="11"/>
  <c r="V152" i="5"/>
  <c r="T77" i="11"/>
  <c r="I152" i="5"/>
  <c r="T58" i="11"/>
  <c r="T70" i="11"/>
  <c r="T82" i="11"/>
  <c r="H108" i="5"/>
  <c r="J81" i="11"/>
  <c r="T76" i="11"/>
  <c r="O152" i="5"/>
  <c r="T59" i="11"/>
  <c r="T71" i="11"/>
  <c r="T83" i="11"/>
  <c r="J63" i="11"/>
  <c r="E108" i="5"/>
  <c r="T63" i="11"/>
  <c r="J56" i="11"/>
  <c r="T78" i="11"/>
  <c r="T60" i="11"/>
  <c r="T65" i="11"/>
  <c r="T61" i="11"/>
  <c r="J54" i="11"/>
  <c r="T75" i="11"/>
  <c r="P152" i="5"/>
  <c r="J75" i="11"/>
  <c r="T62" i="11"/>
  <c r="J80" i="11"/>
  <c r="T66" i="11"/>
  <c r="V41" i="5"/>
  <c r="H41" i="5"/>
  <c r="E41" i="5"/>
  <c r="O41" i="5"/>
  <c r="E13" i="5"/>
  <c r="E13" i="21" s="1"/>
  <c r="B79" i="11"/>
  <c r="B76" i="11"/>
  <c r="B62" i="11"/>
  <c r="C10" i="13"/>
  <c r="C11" i="13" s="1"/>
  <c r="C12" i="13" s="1"/>
  <c r="C13" i="13" s="1"/>
  <c r="C14" i="13" s="1"/>
  <c r="C15" i="13" s="1"/>
  <c r="B66" i="11"/>
  <c r="B69" i="11"/>
  <c r="B75" i="11"/>
  <c r="C20" i="13"/>
  <c r="C21" i="13" s="1"/>
  <c r="C22" i="13" s="1"/>
  <c r="C23" i="13" s="1"/>
  <c r="C24" i="13" s="1"/>
  <c r="C25" i="13" s="1"/>
  <c r="C27" i="13" s="1"/>
  <c r="C28" i="13" s="1"/>
  <c r="C29" i="13" s="1"/>
  <c r="C31" i="13" s="1"/>
  <c r="C32" i="13" s="1"/>
  <c r="C33" i="13" s="1"/>
  <c r="C40" i="13" s="1"/>
  <c r="C41" i="13" s="1"/>
  <c r="C42" i="13" s="1"/>
  <c r="C43" i="13" s="1"/>
  <c r="C44" i="13" s="1"/>
  <c r="C45" i="13" s="1"/>
  <c r="C47" i="13" s="1"/>
  <c r="C48" i="13" s="1"/>
  <c r="C49" i="13" s="1"/>
  <c r="C50" i="13" s="1"/>
  <c r="C52" i="13" s="1"/>
  <c r="C53" i="13" s="1"/>
  <c r="C54" i="13" s="1"/>
  <c r="C57" i="13" s="1"/>
  <c r="C58" i="13" s="1"/>
  <c r="C60" i="13" s="1"/>
  <c r="C61" i="13" s="1"/>
  <c r="C64" i="13" s="1"/>
  <c r="C70" i="13" s="1"/>
  <c r="C71" i="13" s="1"/>
  <c r="C72" i="13" s="1"/>
  <c r="C73" i="13" s="1"/>
  <c r="C74" i="13" s="1"/>
  <c r="C76" i="13" s="1"/>
  <c r="C77" i="13" s="1"/>
  <c r="C78" i="13" s="1"/>
  <c r="C80" i="13" s="1"/>
  <c r="C81" i="13" s="1"/>
  <c r="C84" i="13" s="1"/>
  <c r="C85" i="13" s="1"/>
  <c r="C87" i="13" s="1"/>
  <c r="C88" i="13" s="1"/>
  <c r="C89" i="13" s="1"/>
  <c r="C91" i="13" s="1"/>
  <c r="C92" i="13" s="1"/>
  <c r="C94" i="13" s="1"/>
  <c r="C101" i="13" s="1"/>
  <c r="C102" i="13" s="1"/>
  <c r="C104" i="13" s="1"/>
  <c r="C105" i="13" s="1"/>
  <c r="C114" i="13" s="1"/>
  <c r="C116" i="13" s="1"/>
  <c r="C118" i="13" s="1"/>
  <c r="C119" i="13" s="1"/>
  <c r="C120" i="13" s="1"/>
  <c r="C122" i="13" s="1"/>
  <c r="C127" i="13" s="1"/>
  <c r="C128" i="13" s="1"/>
  <c r="C129" i="13" s="1"/>
  <c r="C131" i="13" s="1"/>
  <c r="C132" i="13" s="1"/>
  <c r="C133" i="13" s="1"/>
  <c r="C135" i="13" s="1"/>
  <c r="C136" i="13" s="1"/>
  <c r="C137" i="13" s="1"/>
  <c r="C139" i="13" s="1"/>
  <c r="C140" i="13" s="1"/>
  <c r="C141" i="13" s="1"/>
  <c r="C142" i="13" s="1"/>
  <c r="C143" i="13" s="1"/>
  <c r="C145" i="13" s="1"/>
  <c r="C146" i="13" s="1"/>
  <c r="C147" i="13" s="1"/>
  <c r="C149" i="13" s="1"/>
  <c r="C150" i="13" s="1"/>
  <c r="C151" i="13" s="1"/>
  <c r="C156" i="13" s="1"/>
  <c r="C157" i="13" s="1"/>
  <c r="C158" i="13" s="1"/>
  <c r="C161" i="13" s="1"/>
  <c r="C163" i="13" s="1"/>
  <c r="C165" i="13" s="1"/>
  <c r="C170" i="13" s="1"/>
  <c r="C172" i="13" s="1"/>
  <c r="C173" i="13" s="1"/>
  <c r="C174" i="13" s="1"/>
  <c r="C176" i="13" s="1"/>
  <c r="C177" i="13" s="1"/>
  <c r="C178" i="13" s="1"/>
  <c r="C180" i="13" s="1"/>
  <c r="C181" i="13" s="1"/>
  <c r="C182" i="13" s="1"/>
  <c r="C184" i="13" s="1"/>
  <c r="C185" i="13" s="1"/>
  <c r="C186" i="13" s="1"/>
  <c r="C188" i="13" s="1"/>
  <c r="C190" i="13" s="1"/>
  <c r="C191" i="13" s="1"/>
  <c r="C193" i="13" s="1"/>
  <c r="C194" i="13" s="1"/>
  <c r="C195" i="13" s="1"/>
  <c r="C196" i="13" s="1"/>
  <c r="C201" i="13" s="1"/>
  <c r="C202" i="13" s="1"/>
  <c r="C203" i="13" s="1"/>
  <c r="C205" i="13" s="1"/>
  <c r="C206" i="13" s="1"/>
  <c r="C209" i="13" s="1"/>
  <c r="C210" i="13" s="1"/>
  <c r="C212" i="13" s="1"/>
  <c r="C213" i="13" s="1"/>
  <c r="C44" i="5"/>
  <c r="D43" i="21"/>
  <c r="C69" i="5"/>
  <c r="D69" i="21" s="1"/>
  <c r="D68" i="21"/>
  <c r="C99" i="5"/>
  <c r="D98" i="21"/>
  <c r="C113" i="5"/>
  <c r="D112" i="21"/>
  <c r="C122" i="5"/>
  <c r="D121" i="21"/>
  <c r="C154" i="5"/>
  <c r="D154" i="21" s="1"/>
  <c r="D153" i="21"/>
  <c r="V139" i="5"/>
  <c r="O139" i="5"/>
  <c r="H139" i="5"/>
  <c r="E139" i="5"/>
  <c r="V71" i="5"/>
  <c r="E107" i="5"/>
  <c r="W71" i="5"/>
  <c r="E151" i="5"/>
  <c r="P71" i="5"/>
  <c r="H71" i="5"/>
  <c r="I71" i="5"/>
  <c r="O71" i="5"/>
  <c r="E27" i="5"/>
  <c r="C169" i="5"/>
  <c r="C167" i="5"/>
  <c r="D167" i="21" s="1"/>
  <c r="Z19" i="13"/>
  <c r="O167" i="5"/>
  <c r="H167" i="5"/>
  <c r="E167" i="5"/>
  <c r="V167" i="5"/>
  <c r="C157" i="5"/>
  <c r="V155" i="5"/>
  <c r="O155" i="5"/>
  <c r="E155" i="5"/>
  <c r="H155" i="5"/>
  <c r="W192" i="5"/>
  <c r="P192" i="5"/>
  <c r="I192" i="5"/>
  <c r="E192" i="5"/>
  <c r="E40" i="5"/>
  <c r="V40" i="5"/>
  <c r="H40" i="5"/>
  <c r="O40" i="5"/>
  <c r="E165" i="5"/>
  <c r="E15" i="5"/>
  <c r="E15" i="21" s="1"/>
  <c r="P175" i="5"/>
  <c r="P174" i="5"/>
  <c r="W175" i="5"/>
  <c r="W174" i="5"/>
  <c r="P87" i="5"/>
  <c r="W87" i="5"/>
  <c r="P137" i="5"/>
  <c r="W137" i="5"/>
  <c r="W193" i="5"/>
  <c r="W114" i="5"/>
  <c r="P144" i="5"/>
  <c r="W43" i="5"/>
  <c r="P198" i="5"/>
  <c r="W58" i="5"/>
  <c r="P30" i="5"/>
  <c r="P182" i="5"/>
  <c r="P44" i="5"/>
  <c r="W83" i="5"/>
  <c r="P60" i="5"/>
  <c r="P110" i="5"/>
  <c r="W131" i="5"/>
  <c r="P201" i="5"/>
  <c r="W91" i="5"/>
  <c r="W16" i="5"/>
  <c r="W123" i="5"/>
  <c r="P209" i="5"/>
  <c r="W60" i="5"/>
  <c r="W198" i="5"/>
  <c r="P203" i="5"/>
  <c r="W53" i="5"/>
  <c r="P76" i="5"/>
  <c r="P207" i="5"/>
  <c r="P81" i="5"/>
  <c r="W77" i="5"/>
  <c r="P35" i="5"/>
  <c r="P141" i="5"/>
  <c r="W33" i="5"/>
  <c r="W30" i="5"/>
  <c r="W135" i="5"/>
  <c r="W144" i="5"/>
  <c r="W54" i="5"/>
  <c r="W203" i="5"/>
  <c r="P210" i="5"/>
  <c r="W74" i="5"/>
  <c r="P28" i="5"/>
  <c r="P191" i="5"/>
  <c r="P19" i="5"/>
  <c r="W98" i="5"/>
  <c r="P33" i="5"/>
  <c r="P131" i="5"/>
  <c r="P63" i="5"/>
  <c r="P88" i="5"/>
  <c r="W20" i="5"/>
  <c r="W130" i="5"/>
  <c r="W209" i="5"/>
  <c r="W68" i="5"/>
  <c r="P49" i="5"/>
  <c r="W93" i="5"/>
  <c r="P68" i="5"/>
  <c r="P20" i="5"/>
  <c r="P86" i="5"/>
  <c r="W110" i="5"/>
  <c r="P22" i="5"/>
  <c r="P126" i="5"/>
  <c r="P53" i="5"/>
  <c r="W44" i="5"/>
  <c r="W179" i="5"/>
  <c r="W86" i="5"/>
  <c r="P15" i="5"/>
  <c r="P15" i="21" s="1"/>
  <c r="W210" i="5"/>
  <c r="W84" i="5"/>
  <c r="P42" i="5"/>
  <c r="P114" i="5"/>
  <c r="P46" i="5"/>
  <c r="W141" i="5"/>
  <c r="P45" i="5"/>
  <c r="P45" i="21" s="1"/>
  <c r="P188" i="5"/>
  <c r="P43" i="5"/>
  <c r="W61" i="5"/>
  <c r="W171" i="5"/>
  <c r="P69" i="5"/>
  <c r="W80" i="5"/>
  <c r="P102" i="5"/>
  <c r="P55" i="5"/>
  <c r="W78" i="5"/>
  <c r="W55" i="5"/>
  <c r="W200" i="5"/>
  <c r="P135" i="5"/>
  <c r="W102" i="5"/>
  <c r="P113" i="5"/>
  <c r="P130" i="5"/>
  <c r="W112" i="5"/>
  <c r="P93" i="5"/>
  <c r="P80" i="5"/>
  <c r="W22" i="5"/>
  <c r="W126" i="5"/>
  <c r="P51" i="5"/>
  <c r="P206" i="5"/>
  <c r="P98" i="5"/>
  <c r="W49" i="5"/>
  <c r="W204" i="5"/>
  <c r="P179" i="5"/>
  <c r="W113" i="5"/>
  <c r="P134" i="5"/>
  <c r="P54" i="5"/>
  <c r="W142" i="5"/>
  <c r="P84" i="5"/>
  <c r="P23" i="5"/>
  <c r="W45" i="5"/>
  <c r="W188" i="5"/>
  <c r="P193" i="5"/>
  <c r="W69" i="5"/>
  <c r="P61" i="5"/>
  <c r="P200" i="5"/>
  <c r="W134" i="5"/>
  <c r="P158" i="5"/>
  <c r="W35" i="5"/>
  <c r="W127" i="5"/>
  <c r="P112" i="5"/>
  <c r="P58" i="5"/>
  <c r="W63" i="5"/>
  <c r="W201" i="5"/>
  <c r="P91" i="5"/>
  <c r="W88" i="5"/>
  <c r="P123" i="5"/>
  <c r="W15" i="5"/>
  <c r="W15" i="21" s="1"/>
  <c r="W158" i="5"/>
  <c r="P183" i="5"/>
  <c r="W23" i="5"/>
  <c r="W166" i="5"/>
  <c r="P142" i="5"/>
  <c r="P74" i="5"/>
  <c r="W51" i="5"/>
  <c r="W206" i="5"/>
  <c r="P83" i="5"/>
  <c r="W81" i="5"/>
  <c r="P171" i="5"/>
  <c r="W28" i="5"/>
  <c r="W183" i="5"/>
  <c r="W46" i="5"/>
  <c r="W182" i="5"/>
  <c r="P127" i="5"/>
  <c r="P78" i="5"/>
  <c r="P16" i="5"/>
  <c r="P77" i="5"/>
  <c r="W76" i="5"/>
  <c r="P204" i="5"/>
  <c r="W19" i="5"/>
  <c r="W42" i="5"/>
  <c r="W207" i="5"/>
  <c r="P166" i="5"/>
  <c r="W191" i="5"/>
  <c r="W212" i="13"/>
  <c r="W201" i="13"/>
  <c r="E11" i="5"/>
  <c r="V101" i="5"/>
  <c r="O101" i="5"/>
  <c r="H101" i="5"/>
  <c r="E87" i="5"/>
  <c r="I87" i="5"/>
  <c r="E26" i="5"/>
  <c r="E200" i="5"/>
  <c r="O199" i="5"/>
  <c r="H199" i="5"/>
  <c r="I200" i="5"/>
  <c r="C141" i="5"/>
  <c r="Z83" i="13"/>
  <c r="Z86" i="13"/>
  <c r="Z192" i="13"/>
  <c r="Z144" i="13"/>
  <c r="Z171" i="13"/>
  <c r="Z148" i="13"/>
  <c r="Z175" i="13"/>
  <c r="Z179" i="13"/>
  <c r="Z155" i="13"/>
  <c r="Z183" i="13"/>
  <c r="E137" i="5"/>
  <c r="I137" i="5"/>
  <c r="Z138" i="13"/>
  <c r="Z51" i="13"/>
  <c r="Z75" i="13"/>
  <c r="Z100" i="13"/>
  <c r="Z26" i="13"/>
  <c r="Z117" i="13"/>
  <c r="E199" i="5"/>
  <c r="Z11" i="13"/>
  <c r="E201" i="5"/>
  <c r="I201" i="5"/>
  <c r="Z39" i="13"/>
  <c r="Z46" i="13"/>
  <c r="Z69" i="13"/>
  <c r="Z126" i="13"/>
  <c r="E226" i="5"/>
  <c r="Z13" i="13"/>
  <c r="Z130" i="13"/>
  <c r="Z30" i="13"/>
  <c r="Z103" i="13"/>
  <c r="Z134" i="13"/>
  <c r="Z79" i="13"/>
  <c r="Z16" i="13"/>
  <c r="Z59" i="13"/>
  <c r="C203" i="5"/>
  <c r="C199" i="5"/>
  <c r="D199" i="21" s="1"/>
  <c r="I19" i="5"/>
  <c r="E18" i="5"/>
  <c r="E31" i="5"/>
  <c r="E17" i="5"/>
  <c r="E227" i="5"/>
  <c r="I22" i="5"/>
  <c r="E30" i="5"/>
  <c r="I20" i="5"/>
  <c r="I20" i="21" s="1"/>
  <c r="I23" i="5"/>
  <c r="I23" i="21" s="1"/>
  <c r="E29" i="5"/>
  <c r="H190" i="5"/>
  <c r="H187" i="5"/>
  <c r="H181" i="5"/>
  <c r="H133" i="5"/>
  <c r="H125" i="5"/>
  <c r="H48" i="5"/>
  <c r="E189" i="5"/>
  <c r="E92" i="5"/>
  <c r="E111" i="5"/>
  <c r="I183" i="5"/>
  <c r="I130" i="5"/>
  <c r="I93" i="5"/>
  <c r="I61" i="5"/>
  <c r="E186" i="5"/>
  <c r="E158" i="5"/>
  <c r="E89" i="5"/>
  <c r="E150" i="5"/>
  <c r="V48" i="5"/>
  <c r="E52" i="5"/>
  <c r="I203" i="5"/>
  <c r="I135" i="5"/>
  <c r="I110" i="5"/>
  <c r="I43" i="5"/>
  <c r="E209" i="5"/>
  <c r="E206" i="5"/>
  <c r="E203" i="5"/>
  <c r="E193" i="5"/>
  <c r="E190" i="5"/>
  <c r="E187" i="5"/>
  <c r="E183" i="5"/>
  <c r="E181" i="5"/>
  <c r="E178" i="5"/>
  <c r="E175" i="5"/>
  <c r="E170" i="5"/>
  <c r="E166" i="5"/>
  <c r="E159" i="5"/>
  <c r="E154" i="5"/>
  <c r="E145" i="5"/>
  <c r="E142" i="5"/>
  <c r="E140" i="5"/>
  <c r="E135" i="5"/>
  <c r="E133" i="5"/>
  <c r="E130" i="5"/>
  <c r="E127" i="5"/>
  <c r="E125" i="5"/>
  <c r="E122" i="5"/>
  <c r="E116" i="5"/>
  <c r="E113" i="5"/>
  <c r="E110" i="5"/>
  <c r="E102" i="5"/>
  <c r="E99" i="5"/>
  <c r="E93" i="5"/>
  <c r="E90" i="5"/>
  <c r="E86" i="5"/>
  <c r="E83" i="5"/>
  <c r="E80" i="5"/>
  <c r="E77" i="5"/>
  <c r="E74" i="5"/>
  <c r="E70" i="5"/>
  <c r="E68" i="5"/>
  <c r="E61" i="5"/>
  <c r="E58" i="5"/>
  <c r="E55" i="5"/>
  <c r="E53" i="5"/>
  <c r="E50" i="5"/>
  <c r="E48" i="5"/>
  <c r="E45" i="5"/>
  <c r="E43" i="5"/>
  <c r="E184" i="5"/>
  <c r="E156" i="5"/>
  <c r="E85" i="5"/>
  <c r="E120" i="5"/>
  <c r="I113" i="5"/>
  <c r="I74" i="5"/>
  <c r="V177" i="5"/>
  <c r="V169" i="5"/>
  <c r="V129" i="5"/>
  <c r="V121" i="5"/>
  <c r="V57" i="5"/>
  <c r="E180" i="5"/>
  <c r="E143" i="5"/>
  <c r="E82" i="5"/>
  <c r="E106" i="5"/>
  <c r="E106" i="21" s="1"/>
  <c r="E109" i="5"/>
  <c r="I193" i="5"/>
  <c r="I127" i="5"/>
  <c r="I58" i="5"/>
  <c r="E100" i="5"/>
  <c r="O177" i="5"/>
  <c r="O169" i="5"/>
  <c r="O129" i="5"/>
  <c r="O121" i="5"/>
  <c r="O57" i="5"/>
  <c r="E176" i="5"/>
  <c r="E138" i="5"/>
  <c r="E79" i="5"/>
  <c r="E97" i="5"/>
  <c r="E97" i="21" s="1"/>
  <c r="V125" i="5"/>
  <c r="I83" i="5"/>
  <c r="I55" i="5"/>
  <c r="I210" i="5"/>
  <c r="I207" i="5"/>
  <c r="I204" i="5"/>
  <c r="I198" i="5"/>
  <c r="I191" i="5"/>
  <c r="I188" i="5"/>
  <c r="I182" i="5"/>
  <c r="I179" i="5"/>
  <c r="I171" i="5"/>
  <c r="I144" i="5"/>
  <c r="I141" i="5"/>
  <c r="I134" i="5"/>
  <c r="I131" i="5"/>
  <c r="I126" i="5"/>
  <c r="I123" i="5"/>
  <c r="I114" i="5"/>
  <c r="I112" i="5"/>
  <c r="I98" i="5"/>
  <c r="I91" i="5"/>
  <c r="I88" i="5"/>
  <c r="I84" i="5"/>
  <c r="I81" i="5"/>
  <c r="I78" i="5"/>
  <c r="I76" i="5"/>
  <c r="I69" i="5"/>
  <c r="I63" i="5"/>
  <c r="I60" i="5"/>
  <c r="I54" i="5"/>
  <c r="I51" i="5"/>
  <c r="I49" i="5"/>
  <c r="I46" i="5"/>
  <c r="I44" i="5"/>
  <c r="I42" i="5"/>
  <c r="E172" i="5"/>
  <c r="E132" i="5"/>
  <c r="E75" i="5"/>
  <c r="E67" i="5"/>
  <c r="E67" i="21" s="1"/>
  <c r="E47" i="5"/>
  <c r="I166" i="5"/>
  <c r="I68" i="5"/>
  <c r="E202" i="5"/>
  <c r="H169" i="5"/>
  <c r="H129" i="5"/>
  <c r="H121" i="5"/>
  <c r="H57" i="5"/>
  <c r="E168" i="5"/>
  <c r="E128" i="5"/>
  <c r="E62" i="5"/>
  <c r="E39" i="5"/>
  <c r="E39" i="21" s="1"/>
  <c r="I102" i="5"/>
  <c r="E160" i="5"/>
  <c r="E160" i="21" s="1"/>
  <c r="E59" i="5"/>
  <c r="E59" i="21" s="1"/>
  <c r="E208" i="5"/>
  <c r="I209" i="5"/>
  <c r="I77" i="5"/>
  <c r="I45" i="5"/>
  <c r="E210" i="5"/>
  <c r="E207" i="5"/>
  <c r="E204" i="5"/>
  <c r="E198" i="5"/>
  <c r="E191" i="5"/>
  <c r="E188" i="5"/>
  <c r="E185" i="5"/>
  <c r="E182" i="5"/>
  <c r="E179" i="5"/>
  <c r="E177" i="5"/>
  <c r="E174" i="5"/>
  <c r="E174" i="21" s="1"/>
  <c r="E171" i="5"/>
  <c r="E169" i="5"/>
  <c r="E161" i="5"/>
  <c r="E157" i="5"/>
  <c r="E153" i="5"/>
  <c r="E146" i="5"/>
  <c r="E144" i="5"/>
  <c r="E141" i="5"/>
  <c r="E136" i="5"/>
  <c r="E134" i="5"/>
  <c r="E131" i="5"/>
  <c r="E129" i="5"/>
  <c r="E126" i="5"/>
  <c r="E123" i="5"/>
  <c r="E121" i="5"/>
  <c r="E114" i="5"/>
  <c r="E112" i="5"/>
  <c r="E101" i="5"/>
  <c r="E98" i="5"/>
  <c r="E91" i="5"/>
  <c r="E88" i="5"/>
  <c r="E84" i="5"/>
  <c r="E81" i="5"/>
  <c r="E78" i="5"/>
  <c r="E76" i="5"/>
  <c r="E72" i="5"/>
  <c r="E72" i="21" s="1"/>
  <c r="E69" i="5"/>
  <c r="E69" i="21" s="1"/>
  <c r="E63" i="5"/>
  <c r="E60" i="5"/>
  <c r="E57" i="5"/>
  <c r="E54" i="5"/>
  <c r="E51" i="5"/>
  <c r="E49" i="5"/>
  <c r="E46" i="5"/>
  <c r="E44" i="5"/>
  <c r="E42" i="5"/>
  <c r="E115" i="5"/>
  <c r="E56" i="5"/>
  <c r="E56" i="21" s="1"/>
  <c r="V133" i="5"/>
  <c r="I86" i="5"/>
  <c r="E197" i="5"/>
  <c r="V190" i="5"/>
  <c r="V187" i="5"/>
  <c r="V181" i="5"/>
  <c r="O190" i="5"/>
  <c r="O187" i="5"/>
  <c r="O181" i="5"/>
  <c r="O133" i="5"/>
  <c r="O125" i="5"/>
  <c r="O48" i="5"/>
  <c r="E205" i="5"/>
  <c r="I158" i="5"/>
  <c r="I206" i="5"/>
  <c r="I142" i="5"/>
  <c r="I80" i="5"/>
  <c r="I53" i="5"/>
  <c r="E28" i="5"/>
  <c r="E28" i="21" s="1"/>
  <c r="I35" i="5"/>
  <c r="E225" i="5"/>
  <c r="E16" i="5"/>
  <c r="E16" i="21" s="1"/>
  <c r="E25" i="5"/>
  <c r="I16" i="5"/>
  <c r="E24" i="5"/>
  <c r="I33" i="5"/>
  <c r="I15" i="5"/>
  <c r="I15" i="21" s="1"/>
  <c r="E33" i="5"/>
  <c r="E23" i="5"/>
  <c r="E19" i="5"/>
  <c r="E19" i="21" s="1"/>
  <c r="E12" i="5"/>
  <c r="E12" i="21" s="1"/>
  <c r="E22" i="5"/>
  <c r="I30" i="5"/>
  <c r="E32" i="5"/>
  <c r="E32" i="21" s="1"/>
  <c r="E35" i="5"/>
  <c r="E21" i="5"/>
  <c r="E21" i="21" s="1"/>
  <c r="E34" i="5"/>
  <c r="E20" i="5"/>
  <c r="E224" i="5"/>
  <c r="AD249" i="5"/>
  <c r="AE249" i="5"/>
  <c r="AF249" i="5"/>
  <c r="E249" i="5"/>
  <c r="E253" i="5"/>
  <c r="E18" i="21" l="1"/>
  <c r="E42" i="21"/>
  <c r="P23" i="21"/>
  <c r="W23" i="21"/>
  <c r="E23" i="21"/>
  <c r="E31" i="21"/>
  <c r="I16" i="21"/>
  <c r="E35" i="21"/>
  <c r="E36" i="21"/>
  <c r="E25" i="21"/>
  <c r="E29" i="21"/>
  <c r="E22" i="21"/>
  <c r="E30" i="21"/>
  <c r="E26" i="21"/>
  <c r="W20" i="21"/>
  <c r="O41" i="21"/>
  <c r="E17" i="21"/>
  <c r="E41" i="21"/>
  <c r="E27" i="21"/>
  <c r="H41" i="21"/>
  <c r="E62" i="21"/>
  <c r="V41" i="21"/>
  <c r="E33" i="21"/>
  <c r="E20" i="21"/>
  <c r="P16" i="21"/>
  <c r="P20" i="21"/>
  <c r="W16" i="21"/>
  <c r="E34" i="21"/>
  <c r="E24" i="21"/>
  <c r="E207" i="21"/>
  <c r="E73" i="21"/>
  <c r="B81" i="11"/>
  <c r="E120" i="21"/>
  <c r="C70" i="5"/>
  <c r="B71" i="11"/>
  <c r="B72" i="11"/>
  <c r="B80" i="11"/>
  <c r="B59" i="11"/>
  <c r="B70" i="11"/>
  <c r="B55" i="11"/>
  <c r="C71" i="5"/>
  <c r="D71" i="21" s="1"/>
  <c r="I193" i="21"/>
  <c r="E165" i="21"/>
  <c r="E139" i="21"/>
  <c r="E11" i="21"/>
  <c r="P193" i="21"/>
  <c r="P61" i="21"/>
  <c r="E44" i="21"/>
  <c r="E159" i="21"/>
  <c r="E187" i="21"/>
  <c r="E98" i="21"/>
  <c r="W44" i="21"/>
  <c r="E40" i="21"/>
  <c r="E157" i="21"/>
  <c r="W210" i="21"/>
  <c r="E156" i="21"/>
  <c r="W46" i="21"/>
  <c r="E54" i="21"/>
  <c r="E188" i="21"/>
  <c r="E46" i="21"/>
  <c r="P69" i="21"/>
  <c r="W193" i="21"/>
  <c r="E88" i="21"/>
  <c r="W61" i="21"/>
  <c r="E51" i="21"/>
  <c r="E91" i="21"/>
  <c r="E60" i="21"/>
  <c r="I45" i="21"/>
  <c r="E208" i="21"/>
  <c r="I46" i="21"/>
  <c r="P210" i="21"/>
  <c r="E57" i="21"/>
  <c r="E191" i="21"/>
  <c r="E47" i="21"/>
  <c r="W54" i="21"/>
  <c r="I210" i="21"/>
  <c r="P55" i="21"/>
  <c r="I44" i="21"/>
  <c r="P43" i="21"/>
  <c r="W69" i="21"/>
  <c r="E61" i="21"/>
  <c r="E186" i="21"/>
  <c r="W43" i="21"/>
  <c r="I207" i="21"/>
  <c r="E225" i="21"/>
  <c r="E68" i="21"/>
  <c r="E154" i="21"/>
  <c r="I61" i="21"/>
  <c r="E70" i="21"/>
  <c r="E116" i="21"/>
  <c r="E117" i="21"/>
  <c r="E209" i="21"/>
  <c r="E49" i="21"/>
  <c r="I43" i="21"/>
  <c r="P54" i="21"/>
  <c r="P207" i="21"/>
  <c r="I54" i="21"/>
  <c r="E43" i="21"/>
  <c r="E107" i="21"/>
  <c r="E146" i="21"/>
  <c r="E147" i="21"/>
  <c r="E45" i="21"/>
  <c r="E192" i="21"/>
  <c r="E48" i="21"/>
  <c r="E52" i="21"/>
  <c r="E189" i="21"/>
  <c r="E227" i="21"/>
  <c r="E228" i="21"/>
  <c r="P44" i="21"/>
  <c r="I192" i="21"/>
  <c r="E63" i="21"/>
  <c r="E64" i="21"/>
  <c r="I69" i="21"/>
  <c r="E50" i="21"/>
  <c r="P192" i="21"/>
  <c r="E161" i="21"/>
  <c r="E162" i="21"/>
  <c r="I55" i="21"/>
  <c r="E53" i="21"/>
  <c r="W192" i="21"/>
  <c r="B56" i="11"/>
  <c r="E210" i="21"/>
  <c r="E211" i="21"/>
  <c r="E55" i="21"/>
  <c r="E190" i="21"/>
  <c r="E226" i="21"/>
  <c r="W55" i="21"/>
  <c r="P46" i="21"/>
  <c r="E58" i="21"/>
  <c r="E145" i="21"/>
  <c r="E193" i="21"/>
  <c r="E194" i="21"/>
  <c r="E158" i="21"/>
  <c r="W45" i="21"/>
  <c r="E155" i="21"/>
  <c r="C123" i="5"/>
  <c r="D122" i="21"/>
  <c r="C114" i="5"/>
  <c r="D114" i="21" s="1"/>
  <c r="D113" i="21"/>
  <c r="C204" i="5"/>
  <c r="D203" i="21"/>
  <c r="C170" i="5"/>
  <c r="D169" i="21"/>
  <c r="C72" i="5"/>
  <c r="D70" i="21"/>
  <c r="C142" i="5"/>
  <c r="D141" i="21"/>
  <c r="C101" i="5"/>
  <c r="D99" i="21"/>
  <c r="C155" i="5"/>
  <c r="D155" i="21" s="1"/>
  <c r="C159" i="5"/>
  <c r="D157" i="21"/>
  <c r="C45" i="5"/>
  <c r="D44" i="21"/>
  <c r="E111" i="21"/>
  <c r="E131" i="21"/>
  <c r="E140" i="21"/>
  <c r="E150" i="21"/>
  <c r="E153" i="21"/>
  <c r="E71" i="21"/>
  <c r="W204" i="21"/>
  <c r="W207" i="21"/>
  <c r="E76" i="21"/>
  <c r="E108" i="21"/>
  <c r="E101" i="21"/>
  <c r="P88" i="21"/>
  <c r="E122" i="21"/>
  <c r="E199" i="21"/>
  <c r="E181" i="21"/>
  <c r="E167" i="21"/>
  <c r="E142" i="21"/>
  <c r="E175" i="21"/>
  <c r="E144" i="21"/>
  <c r="E204" i="21"/>
  <c r="E128" i="21"/>
  <c r="E81" i="21"/>
  <c r="E151" i="21"/>
  <c r="E135" i="21"/>
  <c r="E179" i="21"/>
  <c r="E86" i="21"/>
  <c r="E100" i="21"/>
  <c r="E138" i="21"/>
  <c r="E168" i="21"/>
  <c r="E206" i="21"/>
  <c r="E121" i="21"/>
  <c r="E80" i="21"/>
  <c r="E126" i="21"/>
  <c r="E202" i="21"/>
  <c r="E201" i="21"/>
  <c r="E78" i="21"/>
  <c r="E170" i="21"/>
  <c r="E125" i="21"/>
  <c r="E172" i="21"/>
  <c r="E82" i="21"/>
  <c r="E74" i="21"/>
  <c r="W88" i="21"/>
  <c r="W84" i="21"/>
  <c r="I78" i="21"/>
  <c r="I88" i="21"/>
  <c r="I113" i="21"/>
  <c r="P77" i="21"/>
  <c r="W77" i="21"/>
  <c r="W113" i="21"/>
  <c r="P78" i="21"/>
  <c r="E182" i="21"/>
  <c r="E123" i="21"/>
  <c r="E141" i="21"/>
  <c r="E77" i="21"/>
  <c r="E124" i="21"/>
  <c r="E198" i="21"/>
  <c r="P81" i="21"/>
  <c r="E185" i="21"/>
  <c r="E177" i="21"/>
  <c r="E171" i="21"/>
  <c r="E110" i="21"/>
  <c r="P204" i="21"/>
  <c r="I201" i="21"/>
  <c r="E83" i="21"/>
  <c r="E129" i="21"/>
  <c r="E92" i="21"/>
  <c r="E197" i="21"/>
  <c r="I204" i="21"/>
  <c r="E132" i="21"/>
  <c r="E178" i="21"/>
  <c r="W87" i="21"/>
  <c r="E113" i="21"/>
  <c r="E90" i="21"/>
  <c r="E134" i="21"/>
  <c r="E180" i="21"/>
  <c r="W201" i="21"/>
  <c r="P87" i="21"/>
  <c r="E127" i="21"/>
  <c r="E75" i="21"/>
  <c r="E93" i="21"/>
  <c r="E94" i="21"/>
  <c r="E184" i="21"/>
  <c r="I87" i="21"/>
  <c r="W81" i="21"/>
  <c r="W142" i="21"/>
  <c r="E166" i="21"/>
  <c r="E99" i="21"/>
  <c r="E89" i="21"/>
  <c r="E87" i="21"/>
  <c r="P201" i="21"/>
  <c r="E169" i="21"/>
  <c r="I142" i="21"/>
  <c r="E102" i="21"/>
  <c r="E103" i="21"/>
  <c r="E143" i="21"/>
  <c r="E114" i="21"/>
  <c r="I77" i="21"/>
  <c r="I84" i="21"/>
  <c r="E109" i="21"/>
  <c r="E200" i="21"/>
  <c r="E183" i="21"/>
  <c r="W78" i="21"/>
  <c r="P113" i="21"/>
  <c r="E84" i="21"/>
  <c r="E130" i="21"/>
  <c r="E173" i="21"/>
  <c r="E79" i="21"/>
  <c r="E112" i="21"/>
  <c r="E203" i="21"/>
  <c r="I81" i="21"/>
  <c r="E133" i="21"/>
  <c r="E176" i="21"/>
  <c r="E205" i="21"/>
  <c r="E137" i="21"/>
  <c r="E85" i="21"/>
  <c r="E115" i="21"/>
  <c r="E136" i="21"/>
  <c r="P84" i="21"/>
  <c r="P142" i="21"/>
  <c r="E152" i="21"/>
  <c r="W210" i="13"/>
  <c r="W213" i="13"/>
  <c r="W202" i="13"/>
  <c r="W203" i="13"/>
  <c r="C200" i="5"/>
  <c r="D200" i="21" s="1"/>
  <c r="C201" i="5"/>
  <c r="D201" i="21" s="1"/>
  <c r="Z10" i="13"/>
  <c r="AF260" i="5"/>
  <c r="AE260" i="5"/>
  <c r="AD260" i="5"/>
  <c r="E260" i="5"/>
  <c r="E259" i="5"/>
  <c r="AF259" i="5"/>
  <c r="AE259" i="5"/>
  <c r="AD259" i="5"/>
  <c r="AF256" i="5"/>
  <c r="AE256" i="5"/>
  <c r="AD256" i="5"/>
  <c r="E256" i="5"/>
  <c r="AF261" i="5"/>
  <c r="AE261" i="5"/>
  <c r="AD261" i="5"/>
  <c r="E261" i="5"/>
  <c r="AF254" i="5"/>
  <c r="AE254" i="5"/>
  <c r="AD254" i="5"/>
  <c r="E254" i="5"/>
  <c r="AF250" i="5"/>
  <c r="AE250" i="5"/>
  <c r="AD250" i="5"/>
  <c r="E250" i="5"/>
  <c r="E248" i="5"/>
  <c r="AF248" i="5"/>
  <c r="AE248" i="5"/>
  <c r="AD248" i="5"/>
  <c r="AF253" i="5"/>
  <c r="AE253" i="5"/>
  <c r="AD253" i="5"/>
  <c r="AF247" i="5"/>
  <c r="AE247" i="5"/>
  <c r="AD247" i="5"/>
  <c r="E247" i="5"/>
  <c r="AF238" i="5"/>
  <c r="AE238" i="5"/>
  <c r="AD238" i="5"/>
  <c r="E238" i="5"/>
  <c r="AF257" i="5"/>
  <c r="AE257" i="5"/>
  <c r="AD257" i="5"/>
  <c r="E257" i="5"/>
  <c r="C144" i="5" l="1"/>
  <c r="D142" i="21"/>
  <c r="C74" i="5"/>
  <c r="D72" i="21"/>
  <c r="C171" i="5"/>
  <c r="D170" i="21"/>
  <c r="C46" i="5"/>
  <c r="D45" i="21"/>
  <c r="C206" i="5"/>
  <c r="D204" i="21"/>
  <c r="C161" i="5"/>
  <c r="D161" i="21" s="1"/>
  <c r="D159" i="21"/>
  <c r="C102" i="5"/>
  <c r="D102" i="21" s="1"/>
  <c r="D101" i="21"/>
  <c r="C125" i="5"/>
  <c r="D123" i="21"/>
  <c r="L11" i="3"/>
  <c r="K9" i="13" s="1"/>
  <c r="L12" i="3"/>
  <c r="L9" i="13" s="1"/>
  <c r="L13" i="3"/>
  <c r="L14" i="3"/>
  <c r="N9" i="13" s="1"/>
  <c r="L15" i="3"/>
  <c r="O9" i="13" s="1"/>
  <c r="L16" i="3"/>
  <c r="P9" i="13" s="1"/>
  <c r="L10" i="3"/>
  <c r="H21" i="3" s="1"/>
  <c r="L8" i="3"/>
  <c r="L9" i="3"/>
  <c r="L7" i="3"/>
  <c r="L6" i="3"/>
  <c r="L5" i="3"/>
  <c r="H16" i="3" s="1"/>
  <c r="M9" i="13" l="1"/>
  <c r="I15" i="3"/>
  <c r="U119" i="13" s="1"/>
  <c r="Q16" i="3"/>
  <c r="Q15" i="3"/>
  <c r="Q14" i="3"/>
  <c r="Q12" i="3"/>
  <c r="U118" i="13"/>
  <c r="C207" i="5"/>
  <c r="D206" i="21"/>
  <c r="C177" i="5"/>
  <c r="D171" i="21"/>
  <c r="C126" i="5"/>
  <c r="D125" i="21"/>
  <c r="C76" i="5"/>
  <c r="D74" i="21"/>
  <c r="C48" i="5"/>
  <c r="D46" i="21"/>
  <c r="C145" i="5"/>
  <c r="D144" i="21"/>
  <c r="J9" i="13"/>
  <c r="J233" i="13" s="1"/>
  <c r="V91" i="13"/>
  <c r="V92" i="13"/>
  <c r="U101" i="13"/>
  <c r="Q9" i="13"/>
  <c r="Q13" i="3"/>
  <c r="Y6" i="13" s="1"/>
  <c r="O38" i="13"/>
  <c r="O233" i="13"/>
  <c r="O199" i="13"/>
  <c r="O216" i="13"/>
  <c r="O154" i="13"/>
  <c r="O168" i="13"/>
  <c r="O125" i="13"/>
  <c r="O112" i="13"/>
  <c r="O99" i="13"/>
  <c r="O68" i="13"/>
  <c r="M38" i="13"/>
  <c r="M168" i="13"/>
  <c r="M99" i="13"/>
  <c r="M199" i="13"/>
  <c r="M154" i="13"/>
  <c r="M112" i="13"/>
  <c r="M216" i="13"/>
  <c r="M125" i="13"/>
  <c r="M68" i="13"/>
  <c r="M233" i="13"/>
  <c r="J168" i="13"/>
  <c r="J199" i="13"/>
  <c r="J112" i="13"/>
  <c r="J216" i="13"/>
  <c r="J154" i="13"/>
  <c r="J68" i="13"/>
  <c r="P38" i="13"/>
  <c r="P233" i="13"/>
  <c r="P199" i="13"/>
  <c r="P216" i="13"/>
  <c r="P154" i="13"/>
  <c r="P168" i="13"/>
  <c r="P125" i="13"/>
  <c r="P112" i="13"/>
  <c r="P99" i="13"/>
  <c r="P68" i="13"/>
  <c r="N154" i="13"/>
  <c r="N168" i="13"/>
  <c r="N112" i="13"/>
  <c r="N216" i="13"/>
  <c r="N99" i="13"/>
  <c r="N38" i="13"/>
  <c r="N199" i="13"/>
  <c r="N125" i="13"/>
  <c r="N68" i="13"/>
  <c r="N233" i="13"/>
  <c r="L233" i="13"/>
  <c r="L216" i="13"/>
  <c r="L112" i="13"/>
  <c r="L38" i="13"/>
  <c r="L168" i="13"/>
  <c r="L125" i="13"/>
  <c r="L68" i="13"/>
  <c r="L199" i="13"/>
  <c r="L99" i="13"/>
  <c r="L154" i="13"/>
  <c r="K233" i="13"/>
  <c r="K112" i="13"/>
  <c r="K154" i="13"/>
  <c r="K99" i="13"/>
  <c r="K199" i="13"/>
  <c r="K168" i="13"/>
  <c r="K38" i="13"/>
  <c r="K125" i="13"/>
  <c r="K216" i="13"/>
  <c r="K68" i="13"/>
  <c r="P259" i="13"/>
  <c r="O259" i="13"/>
  <c r="M259" i="13"/>
  <c r="L259" i="13"/>
  <c r="N259" i="13"/>
  <c r="K259" i="13"/>
  <c r="J259" i="13"/>
  <c r="Y4" i="13" l="1"/>
  <c r="E7" i="5"/>
  <c r="E7" i="21" s="1"/>
  <c r="BS342" i="13"/>
  <c r="J125" i="13"/>
  <c r="J38" i="13"/>
  <c r="J99" i="13"/>
  <c r="Y49" i="13"/>
  <c r="C127" i="5"/>
  <c r="D126" i="21"/>
  <c r="C146" i="5"/>
  <c r="D146" i="21" s="1"/>
  <c r="D145" i="21"/>
  <c r="C49" i="5"/>
  <c r="D48" i="21"/>
  <c r="C77" i="5"/>
  <c r="D76" i="21"/>
  <c r="C178" i="5"/>
  <c r="D177" i="21"/>
  <c r="C209" i="5"/>
  <c r="D207" i="21"/>
  <c r="V90" i="13"/>
  <c r="Q68" i="13"/>
  <c r="Q38" i="13"/>
  <c r="Q125" i="13"/>
  <c r="Q233" i="13"/>
  <c r="Q216" i="13"/>
  <c r="Q199" i="13"/>
  <c r="Q168" i="13"/>
  <c r="Q154" i="13"/>
  <c r="Q112" i="13"/>
  <c r="Q99" i="13"/>
  <c r="Y5" i="13"/>
  <c r="BS345" i="13"/>
  <c r="J37" i="11" s="1"/>
  <c r="BS348" i="13"/>
  <c r="J40" i="11" s="1"/>
  <c r="BS344" i="13"/>
  <c r="J36" i="11" s="1"/>
  <c r="BS354" i="13"/>
  <c r="BS350" i="13"/>
  <c r="J42" i="11" s="1"/>
  <c r="BS351" i="13"/>
  <c r="J43" i="11" s="1"/>
  <c r="BS347" i="13"/>
  <c r="J39" i="11" s="1"/>
  <c r="BS352" i="13"/>
  <c r="J44" i="11" s="1"/>
  <c r="BS353" i="13"/>
  <c r="BS346" i="13"/>
  <c r="J38" i="11" s="1"/>
  <c r="BS349" i="13"/>
  <c r="J41" i="11" s="1"/>
  <c r="X225" i="13"/>
  <c r="X226" i="13"/>
  <c r="X227" i="13"/>
  <c r="X228" i="13"/>
  <c r="X229" i="13"/>
  <c r="X189" i="13"/>
  <c r="X192" i="13"/>
  <c r="X175" i="13"/>
  <c r="X138" i="13"/>
  <c r="X144" i="13"/>
  <c r="X148" i="13"/>
  <c r="X130" i="13"/>
  <c r="BW192" i="13"/>
  <c r="BW189" i="13"/>
  <c r="BW148" i="13"/>
  <c r="E219" i="13"/>
  <c r="E220" i="13"/>
  <c r="E221" i="13"/>
  <c r="E218" i="5" s="1"/>
  <c r="E222" i="13"/>
  <c r="E223" i="13"/>
  <c r="E224" i="13"/>
  <c r="E225" i="13"/>
  <c r="E226" i="13"/>
  <c r="C179" i="5" l="1"/>
  <c r="D178" i="21"/>
  <c r="C78" i="5"/>
  <c r="D77" i="21"/>
  <c r="C210" i="5"/>
  <c r="D210" i="21" s="1"/>
  <c r="D209" i="21"/>
  <c r="C50" i="5"/>
  <c r="D49" i="21"/>
  <c r="C129" i="5"/>
  <c r="D127" i="21"/>
  <c r="E220" i="5"/>
  <c r="E222" i="5"/>
  <c r="E221" i="5"/>
  <c r="E223" i="5"/>
  <c r="E224" i="21" s="1"/>
  <c r="E217" i="5"/>
  <c r="E219" i="5"/>
  <c r="E216" i="5"/>
  <c r="J46" i="11"/>
  <c r="O5" i="3"/>
  <c r="AB12" i="21"/>
  <c r="AB15" i="21"/>
  <c r="AB16" i="21"/>
  <c r="AB39" i="21"/>
  <c r="AB42" i="21"/>
  <c r="AB43" i="21"/>
  <c r="AB64" i="21"/>
  <c r="AB67" i="21"/>
  <c r="AB69" i="21"/>
  <c r="AB94" i="21"/>
  <c r="AB103" i="21"/>
  <c r="AB107" i="21"/>
  <c r="AB116" i="21"/>
  <c r="AB145" i="21"/>
  <c r="AB146" i="21"/>
  <c r="AB159" i="21"/>
  <c r="AB161" i="21"/>
  <c r="AB191" i="21"/>
  <c r="AB192" i="21"/>
  <c r="AB193" i="21"/>
  <c r="CE79" i="13"/>
  <c r="C130" i="5" l="1"/>
  <c r="D129" i="21"/>
  <c r="C51" i="5"/>
  <c r="D50" i="21"/>
  <c r="C80" i="5"/>
  <c r="D78" i="21"/>
  <c r="C181" i="5"/>
  <c r="D179" i="21"/>
  <c r="E220" i="21"/>
  <c r="E223" i="21"/>
  <c r="E218" i="21"/>
  <c r="E221" i="21"/>
  <c r="E219" i="21"/>
  <c r="E222" i="21"/>
  <c r="E217" i="21"/>
  <c r="CE39" i="13"/>
  <c r="CE211" i="13"/>
  <c r="CE208" i="13"/>
  <c r="CE204" i="13"/>
  <c r="CE200" i="13"/>
  <c r="CE138" i="13"/>
  <c r="CE115" i="13"/>
  <c r="CE117" i="13"/>
  <c r="CE95" i="13"/>
  <c r="CE93" i="13"/>
  <c r="CE83" i="13"/>
  <c r="CE75" i="13"/>
  <c r="CE55" i="13"/>
  <c r="CE51" i="13"/>
  <c r="CE46" i="13"/>
  <c r="CB117" i="13"/>
  <c r="CB75" i="13"/>
  <c r="CB46" i="13"/>
  <c r="CB39" i="13"/>
  <c r="BW218" i="13"/>
  <c r="BW219" i="13"/>
  <c r="BW220" i="13"/>
  <c r="BW221" i="13"/>
  <c r="BW222" i="13"/>
  <c r="BW223" i="13"/>
  <c r="BW224" i="13"/>
  <c r="BW225" i="13"/>
  <c r="BW204" i="13"/>
  <c r="BW207" i="13"/>
  <c r="BW208" i="13"/>
  <c r="BW211" i="13"/>
  <c r="BW171" i="13"/>
  <c r="BW179" i="13"/>
  <c r="BW183" i="13"/>
  <c r="BW187" i="13"/>
  <c r="BW159" i="13"/>
  <c r="BW160" i="13"/>
  <c r="BW164" i="13"/>
  <c r="BW134" i="13"/>
  <c r="BW138" i="13"/>
  <c r="BW144" i="13"/>
  <c r="BW115" i="13"/>
  <c r="BW117" i="13"/>
  <c r="BW121" i="13"/>
  <c r="BW103" i="13"/>
  <c r="BW106" i="13"/>
  <c r="BW107" i="13"/>
  <c r="BW108" i="13"/>
  <c r="BW109" i="13"/>
  <c r="BW155" i="13"/>
  <c r="BW169" i="13"/>
  <c r="BW200" i="13"/>
  <c r="BW217" i="13"/>
  <c r="BW126" i="13"/>
  <c r="BW113" i="13"/>
  <c r="BW100" i="13"/>
  <c r="BW75" i="13"/>
  <c r="BW79" i="13"/>
  <c r="BW82" i="13"/>
  <c r="BW83" i="13"/>
  <c r="BW86" i="13"/>
  <c r="BW90" i="13"/>
  <c r="BW93" i="13"/>
  <c r="BW95" i="13"/>
  <c r="BW96" i="13"/>
  <c r="BW69" i="13"/>
  <c r="BW59" i="13"/>
  <c r="BW62" i="13"/>
  <c r="BW63" i="13"/>
  <c r="BW65" i="13"/>
  <c r="BW56" i="13"/>
  <c r="BW55" i="13"/>
  <c r="BW51" i="13"/>
  <c r="BW46" i="13"/>
  <c r="BW39" i="13"/>
  <c r="BW16" i="13"/>
  <c r="BW19" i="13"/>
  <c r="BW26" i="13"/>
  <c r="BW30" i="13"/>
  <c r="BW10" i="13"/>
  <c r="C182" i="5" l="1"/>
  <c r="D181" i="21"/>
  <c r="C81" i="5"/>
  <c r="D80" i="21"/>
  <c r="C53" i="5"/>
  <c r="D51" i="21"/>
  <c r="C131" i="5"/>
  <c r="D130" i="21"/>
  <c r="AI197" i="5"/>
  <c r="AI202" i="5"/>
  <c r="AI205" i="5"/>
  <c r="AI208" i="5"/>
  <c r="AI132" i="5"/>
  <c r="AI111" i="5"/>
  <c r="AI109" i="5"/>
  <c r="AI92" i="5"/>
  <c r="AI82" i="5"/>
  <c r="AI79" i="5"/>
  <c r="AI75" i="5"/>
  <c r="AI52" i="5"/>
  <c r="AI47" i="5"/>
  <c r="AI39" i="5"/>
  <c r="E326" i="13"/>
  <c r="BX233" i="13"/>
  <c r="BX216" i="13"/>
  <c r="BX199" i="13"/>
  <c r="BX168" i="13"/>
  <c r="BX154" i="13"/>
  <c r="BX125" i="13"/>
  <c r="BX112" i="13"/>
  <c r="BX99" i="13"/>
  <c r="BX68" i="13"/>
  <c r="BX38" i="13"/>
  <c r="BX9" i="13"/>
  <c r="E294" i="13"/>
  <c r="E295" i="13"/>
  <c r="E296" i="13"/>
  <c r="E297" i="13"/>
  <c r="E298" i="13"/>
  <c r="E299" i="13"/>
  <c r="E300" i="13"/>
  <c r="E301" i="13"/>
  <c r="E302" i="13"/>
  <c r="E303" i="13"/>
  <c r="E304" i="13"/>
  <c r="E305" i="13"/>
  <c r="E306" i="13"/>
  <c r="E307" i="13"/>
  <c r="E308" i="13"/>
  <c r="E309" i="13"/>
  <c r="E310" i="13"/>
  <c r="E311" i="13"/>
  <c r="E312" i="13"/>
  <c r="E313" i="13"/>
  <c r="C133" i="5" l="1"/>
  <c r="D131" i="21"/>
  <c r="C54" i="5"/>
  <c r="D53" i="21"/>
  <c r="C83" i="5"/>
  <c r="D81" i="21"/>
  <c r="C183" i="5"/>
  <c r="D182" i="21"/>
  <c r="CA38" i="13"/>
  <c r="CA68" i="13"/>
  <c r="CA199" i="13"/>
  <c r="BZ68" i="13"/>
  <c r="BZ199" i="13"/>
  <c r="CC236" i="13"/>
  <c r="CC154" i="13"/>
  <c r="CC99" i="13"/>
  <c r="CA252" i="13"/>
  <c r="CA236" i="13"/>
  <c r="CC216" i="13"/>
  <c r="CA154" i="13"/>
  <c r="CC112" i="13"/>
  <c r="CA99" i="13"/>
  <c r="CC252" i="13"/>
  <c r="BZ252" i="13"/>
  <c r="BZ236" i="13"/>
  <c r="CC168" i="13"/>
  <c r="BZ154" i="13"/>
  <c r="BZ99" i="13"/>
  <c r="CC38" i="13"/>
  <c r="BZ125" i="13"/>
  <c r="CC237" i="13"/>
  <c r="CC233" i="13"/>
  <c r="CA216" i="13"/>
  <c r="CA112" i="13"/>
  <c r="BZ216" i="13"/>
  <c r="CC125" i="13"/>
  <c r="CC68" i="13"/>
  <c r="CA237" i="13"/>
  <c r="CA233" i="13"/>
  <c r="CC199" i="13"/>
  <c r="BZ168" i="13"/>
  <c r="BZ38" i="13"/>
  <c r="CA168" i="13"/>
  <c r="BZ112" i="13"/>
  <c r="BZ237" i="13"/>
  <c r="BZ233" i="13"/>
  <c r="CA125" i="13"/>
  <c r="AB224" i="21"/>
  <c r="AB222" i="21"/>
  <c r="AB212" i="21"/>
  <c r="AB181" i="21"/>
  <c r="AB180" i="21"/>
  <c r="AB162" i="21"/>
  <c r="AB148" i="21"/>
  <c r="AB142" i="21"/>
  <c r="AB141" i="21"/>
  <c r="AB102" i="21"/>
  <c r="AB100" i="21"/>
  <c r="AB98" i="21"/>
  <c r="AB13" i="21"/>
  <c r="C185" i="5" l="1"/>
  <c r="D183" i="21"/>
  <c r="C84" i="5"/>
  <c r="D83" i="21"/>
  <c r="C55" i="5"/>
  <c r="D54" i="21"/>
  <c r="C134" i="5"/>
  <c r="D133" i="21"/>
  <c r="AK5" i="5"/>
  <c r="AK4" i="5"/>
  <c r="AK3" i="5"/>
  <c r="C135" i="5" l="1"/>
  <c r="D134" i="21"/>
  <c r="C57" i="5"/>
  <c r="D55" i="21"/>
  <c r="C86" i="5"/>
  <c r="D84" i="21"/>
  <c r="C187" i="5"/>
  <c r="D185" i="21"/>
  <c r="AJ4" i="5"/>
  <c r="AS11" i="5" s="1"/>
  <c r="Z1" i="5"/>
  <c r="P2" i="12"/>
  <c r="P2" i="8"/>
  <c r="Z1" i="21"/>
  <c r="N2" i="11"/>
  <c r="C188" i="5" l="1"/>
  <c r="D187" i="21"/>
  <c r="C88" i="5"/>
  <c r="D86" i="21"/>
  <c r="C58" i="5"/>
  <c r="D57" i="21"/>
  <c r="C136" i="5"/>
  <c r="D135" i="21"/>
  <c r="AU259" i="5"/>
  <c r="AT256" i="5"/>
  <c r="AS261" i="5"/>
  <c r="AU260" i="5"/>
  <c r="AT259" i="5"/>
  <c r="AS256" i="5"/>
  <c r="AU261" i="5"/>
  <c r="AT260" i="5"/>
  <c r="AS259" i="5"/>
  <c r="AS260" i="5"/>
  <c r="AU256" i="5"/>
  <c r="AT261" i="5"/>
  <c r="AU248" i="5"/>
  <c r="AT248" i="5"/>
  <c r="AS248" i="5"/>
  <c r="AU238" i="5"/>
  <c r="AS238" i="5"/>
  <c r="AT238" i="5"/>
  <c r="AB9" i="21"/>
  <c r="AU257" i="5"/>
  <c r="AT257" i="5"/>
  <c r="AS257" i="5"/>
  <c r="AB7" i="21"/>
  <c r="AB9" i="5"/>
  <c r="AS28" i="5"/>
  <c r="AB4" i="21"/>
  <c r="AB5" i="21"/>
  <c r="AU36" i="5"/>
  <c r="AU28" i="5"/>
  <c r="AU59" i="5"/>
  <c r="AU62" i="5"/>
  <c r="AS165" i="5"/>
  <c r="AT213" i="5"/>
  <c r="AU219" i="5"/>
  <c r="AS197" i="5"/>
  <c r="AU120" i="5"/>
  <c r="AS218" i="5"/>
  <c r="AT105" i="5"/>
  <c r="AS202" i="5"/>
  <c r="AT94" i="5"/>
  <c r="AT66" i="5"/>
  <c r="AT59" i="5"/>
  <c r="AT52" i="5"/>
  <c r="AT82" i="5"/>
  <c r="AT216" i="5"/>
  <c r="AU258" i="5"/>
  <c r="AS205" i="5"/>
  <c r="AU65" i="5"/>
  <c r="AU168" i="5"/>
  <c r="AT150" i="5"/>
  <c r="AU180" i="5"/>
  <c r="AS85" i="5"/>
  <c r="AT18" i="5"/>
  <c r="AU21" i="5"/>
  <c r="AS36" i="5"/>
  <c r="AU18" i="5"/>
  <c r="AS18" i="5"/>
  <c r="AU162" i="5"/>
  <c r="AS66" i="5"/>
  <c r="AS119" i="5"/>
  <c r="AS211" i="5"/>
  <c r="AT196" i="5"/>
  <c r="AU194" i="5"/>
  <c r="AS92" i="5"/>
  <c r="AS149" i="5"/>
  <c r="AS219" i="5"/>
  <c r="AT106" i="5"/>
  <c r="AT218" i="5"/>
  <c r="AS164" i="5"/>
  <c r="AU105" i="5"/>
  <c r="AT67" i="5"/>
  <c r="AS208" i="5"/>
  <c r="AU147" i="5"/>
  <c r="AT97" i="5"/>
  <c r="AT220" i="5"/>
  <c r="AS168" i="5"/>
  <c r="AU109" i="5"/>
  <c r="AT79" i="5"/>
  <c r="AT205" i="5"/>
  <c r="AS147" i="5"/>
  <c r="AU96" i="5"/>
  <c r="AV197" i="5"/>
  <c r="AT37" i="5"/>
  <c r="AU11" i="5"/>
  <c r="AU115" i="5"/>
  <c r="AU37" i="5"/>
  <c r="AS37" i="5"/>
  <c r="AU211" i="5"/>
  <c r="AS109" i="5"/>
  <c r="AT65" i="5"/>
  <c r="AU163" i="5"/>
  <c r="AS67" i="5"/>
  <c r="AU128" i="5"/>
  <c r="AT217" i="5"/>
  <c r="AU104" i="5"/>
  <c r="AT62" i="5"/>
  <c r="AS180" i="5"/>
  <c r="AT132" i="5"/>
  <c r="AT95" i="5"/>
  <c r="AT162" i="5"/>
  <c r="AU118" i="5"/>
  <c r="AT111" i="5"/>
  <c r="AU212" i="5"/>
  <c r="AS228" i="5"/>
  <c r="AT117" i="5"/>
  <c r="AS212" i="5"/>
  <c r="AU149" i="5"/>
  <c r="AT28" i="5"/>
  <c r="AT11" i="5"/>
  <c r="AT36" i="5"/>
  <c r="AU32" i="5"/>
  <c r="AS56" i="5"/>
  <c r="AT149" i="5"/>
  <c r="AT219" i="5"/>
  <c r="AU106" i="5"/>
  <c r="AU196" i="5"/>
  <c r="AU184" i="5"/>
  <c r="AT118" i="5"/>
  <c r="AS89" i="5"/>
  <c r="AT165" i="5"/>
  <c r="AU213" i="5"/>
  <c r="AU103" i="5"/>
  <c r="AU215" i="5"/>
  <c r="AT160" i="5"/>
  <c r="AS103" i="5"/>
  <c r="AU64" i="5"/>
  <c r="AT202" i="5"/>
  <c r="AS258" i="5"/>
  <c r="AU94" i="5"/>
  <c r="AU217" i="5"/>
  <c r="AT163" i="5"/>
  <c r="AS105" i="5"/>
  <c r="AU66" i="5"/>
  <c r="AU197" i="5"/>
  <c r="AT128" i="5"/>
  <c r="AS94" i="5"/>
  <c r="AV111" i="5"/>
  <c r="AS196" i="5"/>
  <c r="AS163" i="5"/>
  <c r="AT21" i="5"/>
  <c r="AT38" i="5"/>
  <c r="AT100" i="5"/>
  <c r="AT96" i="5"/>
  <c r="AS221" i="5"/>
  <c r="AU52" i="5"/>
  <c r="AS38" i="5"/>
  <c r="AU56" i="5"/>
  <c r="AS32" i="5"/>
  <c r="AS59" i="5"/>
  <c r="AT56" i="5"/>
  <c r="AS128" i="5"/>
  <c r="AS214" i="5"/>
  <c r="AT176" i="5"/>
  <c r="AT221" i="5"/>
  <c r="AS176" i="5"/>
  <c r="AU111" i="5"/>
  <c r="AS156" i="5"/>
  <c r="AS222" i="5"/>
  <c r="AT115" i="5"/>
  <c r="AS213" i="5"/>
  <c r="AU150" i="5"/>
  <c r="AT222" i="5"/>
  <c r="AU195" i="5"/>
  <c r="AT120" i="5"/>
  <c r="AS215" i="5"/>
  <c r="AU156" i="5"/>
  <c r="AS64" i="5"/>
  <c r="AS195" i="5"/>
  <c r="AU119" i="5"/>
  <c r="AT92" i="5"/>
  <c r="AW47" i="5"/>
  <c r="AT47" i="5"/>
  <c r="AS96" i="5"/>
  <c r="AS162" i="5"/>
  <c r="AU218" i="5"/>
  <c r="AT164" i="5"/>
  <c r="AS106" i="5"/>
  <c r="AU67" i="5"/>
  <c r="AU132" i="5"/>
  <c r="AU216" i="5"/>
  <c r="AS104" i="5"/>
  <c r="AS194" i="5"/>
  <c r="AU95" i="5"/>
  <c r="AT208" i="5"/>
  <c r="AS148" i="5"/>
  <c r="AU97" i="5"/>
  <c r="AT228" i="5"/>
  <c r="AS184" i="5"/>
  <c r="AU117" i="5"/>
  <c r="AT85" i="5"/>
  <c r="AT212" i="5"/>
  <c r="AS150" i="5"/>
  <c r="AU222" i="5"/>
  <c r="AT180" i="5"/>
  <c r="AS117" i="5"/>
  <c r="AU82" i="5"/>
  <c r="AV47" i="5"/>
  <c r="AS62" i="5"/>
  <c r="AS21" i="5"/>
  <c r="AU47" i="5"/>
  <c r="AS217" i="5"/>
  <c r="AT104" i="5"/>
  <c r="AT194" i="5"/>
  <c r="AU89" i="5"/>
  <c r="AU148" i="5"/>
  <c r="AS216" i="5"/>
  <c r="AU160" i="5"/>
  <c r="AT103" i="5"/>
  <c r="AS65" i="5"/>
  <c r="AT119" i="5"/>
  <c r="AT211" i="5"/>
  <c r="AU100" i="5"/>
  <c r="AU164" i="5"/>
  <c r="AT89" i="5"/>
  <c r="AU202" i="5"/>
  <c r="AT258" i="5"/>
  <c r="AS95" i="5"/>
  <c r="AU220" i="5"/>
  <c r="AT168" i="5"/>
  <c r="AS111" i="5"/>
  <c r="AU79" i="5"/>
  <c r="AU205" i="5"/>
  <c r="AT147" i="5"/>
  <c r="AS97" i="5"/>
  <c r="AS220" i="5"/>
  <c r="AU165" i="5"/>
  <c r="AT109" i="5"/>
  <c r="AS79" i="5"/>
  <c r="AS47" i="5"/>
  <c r="AS52" i="5"/>
  <c r="AU38" i="5"/>
  <c r="AT32" i="5"/>
  <c r="AT197" i="5"/>
  <c r="AU221" i="5"/>
  <c r="AS115" i="5"/>
  <c r="AU208" i="5"/>
  <c r="AT148" i="5"/>
  <c r="AS100" i="5"/>
  <c r="AT214" i="5"/>
  <c r="AU176" i="5"/>
  <c r="AS82" i="5"/>
  <c r="AS132" i="5"/>
  <c r="AU228" i="5"/>
  <c r="AT184" i="5"/>
  <c r="AS118" i="5"/>
  <c r="AU85" i="5"/>
  <c r="AT215" i="5"/>
  <c r="AS160" i="5"/>
  <c r="AT64" i="5"/>
  <c r="AT195" i="5"/>
  <c r="AS120" i="5"/>
  <c r="AU92" i="5"/>
  <c r="AU214" i="5"/>
  <c r="AT156" i="5"/>
  <c r="BX5" i="13"/>
  <c r="H9" i="13"/>
  <c r="G9" i="13"/>
  <c r="F9" i="13"/>
  <c r="AC5" i="13"/>
  <c r="I9" i="13"/>
  <c r="E6" i="13"/>
  <c r="E258" i="5"/>
  <c r="N6" i="11"/>
  <c r="E54" i="3"/>
  <c r="D3" i="12"/>
  <c r="O93" i="16"/>
  <c r="O94" i="16"/>
  <c r="O95" i="16"/>
  <c r="O96" i="16"/>
  <c r="O97" i="16"/>
  <c r="I27" i="16"/>
  <c r="I41" i="16"/>
  <c r="I57" i="16"/>
  <c r="I66" i="16"/>
  <c r="I73" i="16"/>
  <c r="I84" i="16"/>
  <c r="I92" i="16"/>
  <c r="I15" i="16"/>
  <c r="F2" i="3"/>
  <c r="B17" i="3"/>
  <c r="I16" i="16"/>
  <c r="I28" i="16"/>
  <c r="I42" i="16"/>
  <c r="I50" i="16"/>
  <c r="I51" i="16"/>
  <c r="I58" i="16"/>
  <c r="I67" i="16"/>
  <c r="I74" i="16"/>
  <c r="I85" i="16"/>
  <c r="I93" i="16"/>
  <c r="O7" i="16"/>
  <c r="O8" i="16"/>
  <c r="O9" i="16"/>
  <c r="O10" i="16"/>
  <c r="O11" i="16"/>
  <c r="O12" i="16"/>
  <c r="O13" i="16"/>
  <c r="O14" i="16"/>
  <c r="O15" i="16"/>
  <c r="O16" i="16"/>
  <c r="O17" i="16"/>
  <c r="O18" i="16"/>
  <c r="O19" i="16"/>
  <c r="O20" i="16"/>
  <c r="O21" i="16"/>
  <c r="O22" i="16"/>
  <c r="O23" i="16"/>
  <c r="O24" i="16"/>
  <c r="O25" i="16"/>
  <c r="O26" i="16"/>
  <c r="O27" i="16"/>
  <c r="O28" i="16"/>
  <c r="O29" i="16"/>
  <c r="O30" i="16"/>
  <c r="O31"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60" i="16"/>
  <c r="O61" i="16"/>
  <c r="O63" i="16"/>
  <c r="O64" i="16"/>
  <c r="O65" i="16"/>
  <c r="O66" i="16"/>
  <c r="O67" i="16"/>
  <c r="O68" i="16"/>
  <c r="O69" i="16"/>
  <c r="O70" i="16"/>
  <c r="O71" i="16"/>
  <c r="O72" i="16"/>
  <c r="O73" i="16"/>
  <c r="O74" i="16"/>
  <c r="O75" i="16"/>
  <c r="O77" i="16"/>
  <c r="O78" i="16"/>
  <c r="O79" i="16"/>
  <c r="O82" i="16"/>
  <c r="O83" i="16"/>
  <c r="O84" i="16"/>
  <c r="O85" i="16"/>
  <c r="O86" i="16"/>
  <c r="O87" i="16"/>
  <c r="O88" i="16"/>
  <c r="O89" i="16"/>
  <c r="O90" i="16"/>
  <c r="O91" i="16"/>
  <c r="O92" i="16"/>
  <c r="O6" i="16"/>
  <c r="L11" i="21"/>
  <c r="K38" i="21"/>
  <c r="L38" i="21"/>
  <c r="N38" i="21"/>
  <c r="Q38" i="21"/>
  <c r="R38" i="21"/>
  <c r="S38" i="21"/>
  <c r="U38" i="21"/>
  <c r="X38" i="21"/>
  <c r="Y38" i="21"/>
  <c r="L66" i="21"/>
  <c r="N66" i="21"/>
  <c r="U66" i="21"/>
  <c r="O8" i="3"/>
  <c r="O9" i="3"/>
  <c r="O10" i="3"/>
  <c r="O11" i="3"/>
  <c r="O12" i="3"/>
  <c r="O13" i="3"/>
  <c r="O6" i="3"/>
  <c r="O7" i="3"/>
  <c r="U4" i="5"/>
  <c r="N4" i="5"/>
  <c r="B40" i="3"/>
  <c r="AX270" i="13"/>
  <c r="AC23" i="11"/>
  <c r="AC24" i="11"/>
  <c r="AC25" i="11"/>
  <c r="AC26" i="11"/>
  <c r="AC27" i="11"/>
  <c r="AC28" i="11"/>
  <c r="AC29" i="11"/>
  <c r="AC30" i="11"/>
  <c r="AC31" i="11"/>
  <c r="AC32" i="11"/>
  <c r="AF22" i="11"/>
  <c r="AE36" i="11" s="1"/>
  <c r="AE22" i="11"/>
  <c r="AD36" i="11" s="1"/>
  <c r="AD22" i="11"/>
  <c r="AC36" i="11" s="1"/>
  <c r="AB37" i="11"/>
  <c r="AB36" i="11"/>
  <c r="D6" i="11"/>
  <c r="C3" i="12"/>
  <c r="E6" i="5"/>
  <c r="E6" i="21" s="1"/>
  <c r="M6" i="11"/>
  <c r="AC65" i="5"/>
  <c r="AC66" i="5"/>
  <c r="AC95" i="5"/>
  <c r="AC96" i="5"/>
  <c r="AC104" i="5"/>
  <c r="AC105" i="5"/>
  <c r="AC118" i="5"/>
  <c r="AC119" i="5"/>
  <c r="AC148" i="5"/>
  <c r="AC149" i="5"/>
  <c r="AC163" i="5"/>
  <c r="AC164" i="5"/>
  <c r="AC195" i="5"/>
  <c r="AC196" i="5"/>
  <c r="AC212" i="5"/>
  <c r="AC213" i="5"/>
  <c r="AC10" i="5"/>
  <c r="AD258" i="5"/>
  <c r="AE258" i="5"/>
  <c r="AF258" i="5"/>
  <c r="AF11" i="5"/>
  <c r="AE11" i="5"/>
  <c r="AD11" i="5"/>
  <c r="X59" i="13"/>
  <c r="X63" i="13"/>
  <c r="X69" i="13"/>
  <c r="X75" i="13"/>
  <c r="X79" i="13"/>
  <c r="X83" i="13"/>
  <c r="X86" i="13"/>
  <c r="X93" i="13"/>
  <c r="X100" i="13"/>
  <c r="X103" i="13"/>
  <c r="X113" i="13"/>
  <c r="X115" i="13"/>
  <c r="X117" i="13"/>
  <c r="X121" i="13"/>
  <c r="X126" i="13"/>
  <c r="X134" i="13"/>
  <c r="X155" i="13"/>
  <c r="X160" i="13"/>
  <c r="X164" i="13"/>
  <c r="X169" i="13"/>
  <c r="X171" i="13"/>
  <c r="X179" i="13"/>
  <c r="X183" i="13"/>
  <c r="X187" i="13"/>
  <c r="X200" i="13"/>
  <c r="X204" i="13"/>
  <c r="X208" i="13"/>
  <c r="X211" i="13"/>
  <c r="X217" i="13"/>
  <c r="X218" i="13"/>
  <c r="X219" i="13"/>
  <c r="X220" i="13"/>
  <c r="X221" i="13"/>
  <c r="X222" i="13"/>
  <c r="X223" i="13"/>
  <c r="X224" i="13"/>
  <c r="X16" i="13"/>
  <c r="X19" i="13"/>
  <c r="X26" i="13"/>
  <c r="X30" i="13"/>
  <c r="X34" i="13"/>
  <c r="X35" i="13"/>
  <c r="X39" i="13"/>
  <c r="X46" i="13"/>
  <c r="X51" i="13"/>
  <c r="X56" i="13"/>
  <c r="X10" i="13"/>
  <c r="E215" i="5"/>
  <c r="E216" i="21" s="1"/>
  <c r="E217" i="13"/>
  <c r="V306" i="11"/>
  <c r="V303" i="11"/>
  <c r="V302" i="11"/>
  <c r="V301" i="11"/>
  <c r="V300" i="11"/>
  <c r="V299" i="11"/>
  <c r="V304" i="11"/>
  <c r="T306" i="11"/>
  <c r="T305" i="11"/>
  <c r="T304" i="11"/>
  <c r="T303" i="11"/>
  <c r="T302" i="11"/>
  <c r="T301" i="11"/>
  <c r="T300" i="11"/>
  <c r="T299" i="11"/>
  <c r="T298" i="11"/>
  <c r="T297" i="11"/>
  <c r="V297" i="11"/>
  <c r="V305" i="11"/>
  <c r="V298" i="11"/>
  <c r="C54" i="3"/>
  <c r="E5" i="5"/>
  <c r="E5" i="21" s="1"/>
  <c r="T256" i="13" l="1"/>
  <c r="AB256" i="13" s="1"/>
  <c r="T257" i="13"/>
  <c r="AB257" i="13" s="1"/>
  <c r="T166" i="13"/>
  <c r="BA235" i="13"/>
  <c r="BC235" i="13"/>
  <c r="BB235" i="13"/>
  <c r="AY235" i="13"/>
  <c r="T235" i="13"/>
  <c r="AB235" i="13" s="1"/>
  <c r="AZ235" i="13"/>
  <c r="D136" i="21"/>
  <c r="C137" i="5"/>
  <c r="D137" i="21" s="1"/>
  <c r="C60" i="5"/>
  <c r="D58" i="21"/>
  <c r="C90" i="5"/>
  <c r="D88" i="21"/>
  <c r="C190" i="5"/>
  <c r="D188" i="21"/>
  <c r="BC250" i="13"/>
  <c r="AZ250" i="13"/>
  <c r="AY250" i="13"/>
  <c r="BB250" i="13"/>
  <c r="BA250" i="13"/>
  <c r="T250" i="13"/>
  <c r="T253" i="13"/>
  <c r="AB253" i="13" s="1"/>
  <c r="T254" i="13"/>
  <c r="T255" i="13"/>
  <c r="AB255" i="13" s="1"/>
  <c r="F152" i="5" s="1"/>
  <c r="BC72" i="13"/>
  <c r="BB72" i="13"/>
  <c r="E214" i="5"/>
  <c r="T251" i="13"/>
  <c r="AB251" i="13" s="1"/>
  <c r="BC252" i="13"/>
  <c r="BB252" i="13"/>
  <c r="BA252" i="13"/>
  <c r="AZ251" i="13"/>
  <c r="AZ252" i="13"/>
  <c r="AY252" i="13"/>
  <c r="BC251" i="13"/>
  <c r="BB251" i="13"/>
  <c r="BA251" i="13"/>
  <c r="AY251" i="13"/>
  <c r="T40" i="13"/>
  <c r="AA40" i="13" s="1"/>
  <c r="T195" i="13"/>
  <c r="AA195" i="13" s="1"/>
  <c r="BC234" i="13"/>
  <c r="BA234" i="13"/>
  <c r="BB234" i="13"/>
  <c r="AZ234" i="13"/>
  <c r="AY234" i="13"/>
  <c r="BB12" i="13"/>
  <c r="BC12" i="13"/>
  <c r="BB11" i="13"/>
  <c r="BC11" i="13"/>
  <c r="T88" i="13"/>
  <c r="BC246" i="13"/>
  <c r="BB246" i="13"/>
  <c r="BA246" i="13"/>
  <c r="AY246" i="13"/>
  <c r="T246" i="13"/>
  <c r="AB246" i="13" s="1"/>
  <c r="AZ246" i="13"/>
  <c r="BC23" i="13"/>
  <c r="BA23" i="13"/>
  <c r="BB23" i="13"/>
  <c r="T23" i="13"/>
  <c r="AA23" i="13" s="1"/>
  <c r="T24" i="13"/>
  <c r="AA24" i="13" s="1"/>
  <c r="BC249" i="13"/>
  <c r="BB249" i="13"/>
  <c r="BA249" i="13"/>
  <c r="AZ249" i="13"/>
  <c r="AY249" i="13"/>
  <c r="T249" i="13"/>
  <c r="AB249" i="13" s="1"/>
  <c r="T143" i="13"/>
  <c r="AA143" i="13" s="1"/>
  <c r="BC27" i="13"/>
  <c r="BB22" i="13"/>
  <c r="BC25" i="13"/>
  <c r="BB27" i="13"/>
  <c r="BB25" i="13"/>
  <c r="BC22" i="13"/>
  <c r="AY27" i="13"/>
  <c r="BA27" i="13"/>
  <c r="AZ27" i="13"/>
  <c r="BB73" i="13"/>
  <c r="BA29" i="13"/>
  <c r="BC29" i="13"/>
  <c r="BB29" i="13"/>
  <c r="BA22" i="13"/>
  <c r="AZ22" i="13"/>
  <c r="BC73" i="13"/>
  <c r="AY22" i="13"/>
  <c r="T158" i="13"/>
  <c r="AA158" i="13" s="1"/>
  <c r="T185" i="13"/>
  <c r="AA185" i="13" s="1"/>
  <c r="T173" i="13"/>
  <c r="AA173" i="13" s="1"/>
  <c r="T150" i="13"/>
  <c r="AA150" i="13" s="1"/>
  <c r="T137" i="13"/>
  <c r="AA137" i="13" s="1"/>
  <c r="T120" i="13"/>
  <c r="AA120" i="13" s="1"/>
  <c r="T92" i="13"/>
  <c r="Y92" i="13" s="1"/>
  <c r="T78" i="13"/>
  <c r="T60" i="13"/>
  <c r="U60" i="13" s="1"/>
  <c r="T47" i="13"/>
  <c r="AA47" i="13" s="1"/>
  <c r="T230" i="13"/>
  <c r="AA230" i="13" s="1"/>
  <c r="T77" i="13"/>
  <c r="T46" i="13"/>
  <c r="T213" i="13"/>
  <c r="V213" i="13" s="1"/>
  <c r="T212" i="13"/>
  <c r="V212" i="13" s="1"/>
  <c r="T196" i="13"/>
  <c r="AA196" i="13" s="1"/>
  <c r="T183" i="13"/>
  <c r="AA183" i="13" s="1"/>
  <c r="T148" i="13"/>
  <c r="AA148" i="13" s="1"/>
  <c r="T135" i="13"/>
  <c r="AA135" i="13" s="1"/>
  <c r="T118" i="13"/>
  <c r="AA118" i="13" s="1"/>
  <c r="T90" i="13"/>
  <c r="T76" i="13"/>
  <c r="T58" i="13"/>
  <c r="T45" i="13"/>
  <c r="AA45" i="13" s="1"/>
  <c r="T181" i="13"/>
  <c r="AA181" i="13" s="1"/>
  <c r="T146" i="13"/>
  <c r="AA146" i="13" s="1"/>
  <c r="T133" i="13"/>
  <c r="AA133" i="13" s="1"/>
  <c r="T87" i="13"/>
  <c r="T56" i="13"/>
  <c r="AA56" i="13" s="1"/>
  <c r="T211" i="13"/>
  <c r="U211" i="13" s="1"/>
  <c r="T194" i="13"/>
  <c r="AA194" i="13" s="1"/>
  <c r="T182" i="13"/>
  <c r="AA182" i="13" s="1"/>
  <c r="T165" i="13"/>
  <c r="Y165" i="13" s="1"/>
  <c r="T147" i="13"/>
  <c r="AA147" i="13" s="1"/>
  <c r="T134" i="13"/>
  <c r="AA134" i="13" s="1"/>
  <c r="T117" i="13"/>
  <c r="AA117" i="13" s="1"/>
  <c r="T89" i="13"/>
  <c r="T74" i="13"/>
  <c r="T57" i="13"/>
  <c r="AA57" i="13" s="1"/>
  <c r="T44" i="13"/>
  <c r="AA44" i="13" s="1"/>
  <c r="T193" i="13"/>
  <c r="AA193" i="13" s="1"/>
  <c r="T164" i="13"/>
  <c r="T116" i="13"/>
  <c r="AA116" i="13" s="1"/>
  <c r="T73" i="13"/>
  <c r="AA73" i="13" s="1"/>
  <c r="T43" i="13"/>
  <c r="AA43" i="13" s="1"/>
  <c r="T210" i="13"/>
  <c r="T209" i="13"/>
  <c r="U209" i="13" s="1"/>
  <c r="AA209" i="13" s="1"/>
  <c r="T192" i="13"/>
  <c r="AA192" i="13" s="1"/>
  <c r="T180" i="13"/>
  <c r="AA180" i="13" s="1"/>
  <c r="T163" i="13"/>
  <c r="AA163" i="13" s="1"/>
  <c r="T145" i="13"/>
  <c r="T132" i="13"/>
  <c r="AA132" i="13" s="1"/>
  <c r="T86" i="13"/>
  <c r="T72" i="13"/>
  <c r="AA72" i="13" s="1"/>
  <c r="T54" i="13"/>
  <c r="U54" i="13" s="1"/>
  <c r="T42" i="13"/>
  <c r="T91" i="13"/>
  <c r="T208" i="13"/>
  <c r="AA208" i="13" s="1"/>
  <c r="T191" i="13"/>
  <c r="AA191" i="13" s="1"/>
  <c r="T179" i="13"/>
  <c r="AA179" i="13" s="1"/>
  <c r="T162" i="13"/>
  <c r="AA162" i="13" s="1"/>
  <c r="T144" i="13"/>
  <c r="T131" i="13"/>
  <c r="AA131" i="13" s="1"/>
  <c r="T105" i="13"/>
  <c r="AA105" i="13" s="1"/>
  <c r="T85" i="13"/>
  <c r="U85" i="13" s="1"/>
  <c r="T71" i="13"/>
  <c r="AA71" i="13" s="1"/>
  <c r="T53" i="13"/>
  <c r="U53" i="13" s="1"/>
  <c r="T136" i="13"/>
  <c r="AA136" i="13" s="1"/>
  <c r="T206" i="13"/>
  <c r="U206" i="13" s="1"/>
  <c r="T190" i="13"/>
  <c r="AA190" i="13" s="1"/>
  <c r="T178" i="13"/>
  <c r="AA178" i="13" s="1"/>
  <c r="T161" i="13"/>
  <c r="AA161" i="13" s="1"/>
  <c r="T142" i="13"/>
  <c r="AA142" i="13" s="1"/>
  <c r="T129" i="13"/>
  <c r="AA129" i="13" s="1"/>
  <c r="T104" i="13"/>
  <c r="AA104" i="13" s="1"/>
  <c r="T84" i="13"/>
  <c r="U84" i="13" s="1"/>
  <c r="T52" i="13"/>
  <c r="U52" i="13" s="1"/>
  <c r="T119" i="13"/>
  <c r="T59" i="13"/>
  <c r="AA59" i="13" s="1"/>
  <c r="T205" i="13"/>
  <c r="U205" i="13" s="1"/>
  <c r="T189" i="13"/>
  <c r="AA189" i="13" s="1"/>
  <c r="T177" i="13"/>
  <c r="AA177" i="13" s="1"/>
  <c r="T160" i="13"/>
  <c r="AA160" i="13" s="1"/>
  <c r="T141" i="13"/>
  <c r="AA141" i="13" s="1"/>
  <c r="T128" i="13"/>
  <c r="AA128" i="13" s="1"/>
  <c r="T102" i="13"/>
  <c r="AA102" i="13" s="1"/>
  <c r="T83" i="13"/>
  <c r="T75" i="13"/>
  <c r="T51" i="13"/>
  <c r="T149" i="13"/>
  <c r="AA149" i="13" s="1"/>
  <c r="T203" i="13"/>
  <c r="T188" i="13"/>
  <c r="AA188" i="13" s="1"/>
  <c r="T176" i="13"/>
  <c r="AA176" i="13" s="1"/>
  <c r="T157" i="13"/>
  <c r="AA157" i="13" s="1"/>
  <c r="T140" i="13"/>
  <c r="AA140" i="13" s="1"/>
  <c r="T81" i="13"/>
  <c r="T64" i="13"/>
  <c r="AA64" i="13" s="1"/>
  <c r="T50" i="13"/>
  <c r="U50" i="13" s="1"/>
  <c r="T172" i="13"/>
  <c r="AA172" i="13" s="1"/>
  <c r="T202" i="13"/>
  <c r="T187" i="13"/>
  <c r="AA187" i="13" s="1"/>
  <c r="T175" i="13"/>
  <c r="AA175" i="13" s="1"/>
  <c r="T139" i="13"/>
  <c r="AA139" i="13" s="1"/>
  <c r="T122" i="13"/>
  <c r="AA122" i="13" s="1"/>
  <c r="T94" i="13"/>
  <c r="Y94" i="13" s="1"/>
  <c r="T80" i="13"/>
  <c r="T63" i="13"/>
  <c r="AA63" i="13" s="1"/>
  <c r="T49" i="13"/>
  <c r="U49" i="13" s="1"/>
  <c r="T184" i="13"/>
  <c r="AA184" i="13" s="1"/>
  <c r="T186" i="13"/>
  <c r="AA186" i="13" s="1"/>
  <c r="T174" i="13"/>
  <c r="AA174" i="13" s="1"/>
  <c r="T151" i="13"/>
  <c r="AA151" i="13" s="1"/>
  <c r="T138" i="13"/>
  <c r="AA138" i="13" s="1"/>
  <c r="T121" i="13"/>
  <c r="AA121" i="13" s="1"/>
  <c r="T93" i="13"/>
  <c r="AA93" i="13" s="1"/>
  <c r="T79" i="13"/>
  <c r="AA79" i="13" s="1"/>
  <c r="T61" i="13"/>
  <c r="T48" i="13"/>
  <c r="T204" i="13"/>
  <c r="BC230" i="13"/>
  <c r="T13" i="13"/>
  <c r="AA13" i="13" s="1"/>
  <c r="T27" i="13"/>
  <c r="AA27" i="13" s="1"/>
  <c r="T14" i="13"/>
  <c r="AA14" i="13" s="1"/>
  <c r="T28" i="13"/>
  <c r="T15" i="13"/>
  <c r="AA15" i="13" s="1"/>
  <c r="T29" i="13"/>
  <c r="AA29" i="13" s="1"/>
  <c r="T16" i="13"/>
  <c r="AA16" i="13" s="1"/>
  <c r="T30" i="13"/>
  <c r="AA30" i="13" s="1"/>
  <c r="T26" i="13"/>
  <c r="AA26" i="13" s="1"/>
  <c r="T17" i="13"/>
  <c r="AA17" i="13" s="1"/>
  <c r="T31" i="13"/>
  <c r="T18" i="13"/>
  <c r="AA18" i="13" s="1"/>
  <c r="T32" i="13"/>
  <c r="T22" i="13"/>
  <c r="AA22" i="13" s="1"/>
  <c r="T19" i="13"/>
  <c r="AA19" i="13" s="1"/>
  <c r="T33" i="13"/>
  <c r="T12" i="13"/>
  <c r="AA12" i="13" s="1"/>
  <c r="T20" i="13"/>
  <c r="AA20" i="13" s="1"/>
  <c r="T34" i="13"/>
  <c r="AA34" i="13" s="1"/>
  <c r="T21" i="13"/>
  <c r="AA21" i="13" s="1"/>
  <c r="T35" i="13"/>
  <c r="AA35" i="13" s="1"/>
  <c r="T11" i="13"/>
  <c r="AA11" i="13" s="1"/>
  <c r="T25" i="13"/>
  <c r="AA25" i="13" s="1"/>
  <c r="BQ299" i="13"/>
  <c r="AB40" i="11" s="1"/>
  <c r="BC241" i="13"/>
  <c r="BB241" i="13"/>
  <c r="BA241" i="13"/>
  <c r="AY241" i="13"/>
  <c r="AZ241" i="13"/>
  <c r="AY242" i="13"/>
  <c r="BC242" i="13"/>
  <c r="BB242" i="13"/>
  <c r="BA242" i="13"/>
  <c r="AZ242" i="13"/>
  <c r="T233" i="13"/>
  <c r="AZ248" i="13"/>
  <c r="AY248" i="13"/>
  <c r="BA248" i="13"/>
  <c r="BC247" i="13"/>
  <c r="T248" i="13"/>
  <c r="AB248" i="13" s="1"/>
  <c r="BB247" i="13"/>
  <c r="BC245" i="13"/>
  <c r="BB245" i="13"/>
  <c r="BA245" i="13"/>
  <c r="BB248" i="13"/>
  <c r="AZ245" i="13"/>
  <c r="BA247" i="13"/>
  <c r="AZ247" i="13"/>
  <c r="AY247" i="13"/>
  <c r="BC248" i="13"/>
  <c r="AY245" i="13"/>
  <c r="BB243" i="13"/>
  <c r="AZ240" i="13"/>
  <c r="BA243" i="13"/>
  <c r="AY240" i="13"/>
  <c r="AZ243" i="13"/>
  <c r="BC239" i="13"/>
  <c r="AY243" i="13"/>
  <c r="BB239" i="13"/>
  <c r="BA244" i="13"/>
  <c r="BA240" i="13"/>
  <c r="BA239" i="13"/>
  <c r="AZ239" i="13"/>
  <c r="BC244" i="13"/>
  <c r="AY239" i="13"/>
  <c r="BB244" i="13"/>
  <c r="BC243" i="13"/>
  <c r="AZ244" i="13"/>
  <c r="BC240" i="13"/>
  <c r="AY244" i="13"/>
  <c r="BB240" i="13"/>
  <c r="T216" i="13"/>
  <c r="AY238" i="13"/>
  <c r="BC238" i="13"/>
  <c r="T238" i="13"/>
  <c r="AB238" i="13" s="1"/>
  <c r="F121" i="5" s="1"/>
  <c r="BB238" i="13"/>
  <c r="BA238" i="13"/>
  <c r="AZ238" i="13"/>
  <c r="I233" i="13"/>
  <c r="I112" i="13"/>
  <c r="I125" i="13"/>
  <c r="I154" i="13"/>
  <c r="I199" i="13"/>
  <c r="I99" i="13"/>
  <c r="I216" i="13"/>
  <c r="I68" i="13"/>
  <c r="I168" i="13"/>
  <c r="F199" i="13"/>
  <c r="T226" i="13" s="1"/>
  <c r="AA226" i="13" s="1"/>
  <c r="F154" i="13"/>
  <c r="T156" i="13" s="1"/>
  <c r="AA156" i="13" s="1"/>
  <c r="F112" i="13"/>
  <c r="T114" i="13" s="1"/>
  <c r="F233" i="13"/>
  <c r="T234" i="13" s="1"/>
  <c r="AB234" i="13" s="1"/>
  <c r="F168" i="13"/>
  <c r="T247" i="13" s="1"/>
  <c r="AB247" i="13" s="1"/>
  <c r="F68" i="13"/>
  <c r="T70" i="13" s="1"/>
  <c r="AA70" i="13" s="1"/>
  <c r="F216" i="13"/>
  <c r="F99" i="13"/>
  <c r="T101" i="13" s="1"/>
  <c r="AA101" i="13" s="1"/>
  <c r="F125" i="13"/>
  <c r="T127" i="13" s="1"/>
  <c r="AA127" i="13" s="1"/>
  <c r="G154" i="13"/>
  <c r="G233" i="13"/>
  <c r="G168" i="13"/>
  <c r="G125" i="13"/>
  <c r="G216" i="13"/>
  <c r="G99" i="13"/>
  <c r="G112" i="13"/>
  <c r="G199" i="13"/>
  <c r="G68" i="13"/>
  <c r="R233" i="13"/>
  <c r="R199" i="13"/>
  <c r="R216" i="13"/>
  <c r="R154" i="13"/>
  <c r="R168" i="13"/>
  <c r="R125" i="13"/>
  <c r="R112" i="13"/>
  <c r="R99" i="13"/>
  <c r="R68" i="13"/>
  <c r="H68" i="13"/>
  <c r="H233" i="13"/>
  <c r="H199" i="13"/>
  <c r="H216" i="13"/>
  <c r="H154" i="13"/>
  <c r="H168" i="13"/>
  <c r="H125" i="13"/>
  <c r="T126" i="13" s="1"/>
  <c r="AA126" i="13" s="1"/>
  <c r="H112" i="13"/>
  <c r="H99" i="13"/>
  <c r="R259" i="13"/>
  <c r="I259" i="13"/>
  <c r="H259" i="13"/>
  <c r="G259" i="13"/>
  <c r="BA237" i="13"/>
  <c r="BC228" i="13"/>
  <c r="BC229" i="13"/>
  <c r="BC227" i="13"/>
  <c r="BC226" i="13"/>
  <c r="T228" i="13"/>
  <c r="AA228" i="13" s="1"/>
  <c r="T130" i="13"/>
  <c r="AA130" i="13" s="1"/>
  <c r="D79" i="16"/>
  <c r="AJ8" i="5"/>
  <c r="T9" i="13"/>
  <c r="T68" i="13"/>
  <c r="BA236" i="13"/>
  <c r="T125" i="13"/>
  <c r="AY8" i="13"/>
  <c r="AY236" i="13"/>
  <c r="T199" i="13"/>
  <c r="BC236" i="13"/>
  <c r="AZ236" i="13"/>
  <c r="T112" i="13"/>
  <c r="BC237" i="13"/>
  <c r="AZ237" i="13"/>
  <c r="AY237" i="13"/>
  <c r="T168" i="13"/>
  <c r="T99" i="13"/>
  <c r="BD126" i="13"/>
  <c r="BB236" i="13"/>
  <c r="BD39" i="13"/>
  <c r="T154" i="13"/>
  <c r="T38" i="13"/>
  <c r="BB237" i="13"/>
  <c r="BC225" i="13"/>
  <c r="BY103" i="13"/>
  <c r="BX187" i="13"/>
  <c r="BX103" i="13"/>
  <c r="T10" i="13"/>
  <c r="AA10" i="13" s="1"/>
  <c r="T110" i="13"/>
  <c r="D49" i="16" s="1"/>
  <c r="BC219" i="13"/>
  <c r="BC223" i="13"/>
  <c r="BC217" i="13"/>
  <c r="BC204" i="13"/>
  <c r="BD204" i="13" s="1"/>
  <c r="T220" i="13"/>
  <c r="Y220" i="13" s="1"/>
  <c r="AA220" i="13" s="1"/>
  <c r="BC222" i="13"/>
  <c r="BC211" i="13"/>
  <c r="BC200" i="13"/>
  <c r="BC221" i="13"/>
  <c r="BC220" i="13"/>
  <c r="BC208" i="13"/>
  <c r="BJ121" i="13"/>
  <c r="BK121" i="13" s="1"/>
  <c r="W115" i="5" s="1"/>
  <c r="W114" i="21" s="1"/>
  <c r="BC224" i="13"/>
  <c r="BC218" i="13"/>
  <c r="BC207" i="13"/>
  <c r="T214" i="13"/>
  <c r="D91" i="16" s="1"/>
  <c r="D88" i="16"/>
  <c r="BJ100" i="13"/>
  <c r="BK100" i="13" s="1"/>
  <c r="W97" i="5" s="1"/>
  <c r="D38" i="16"/>
  <c r="D32" i="16"/>
  <c r="D20" i="16"/>
  <c r="H38" i="13"/>
  <c r="T36" i="13"/>
  <c r="D14" i="16" s="1"/>
  <c r="T66" i="13"/>
  <c r="D26" i="16" s="1"/>
  <c r="T231" i="13"/>
  <c r="D107" i="16" s="1"/>
  <c r="T252" i="13"/>
  <c r="AB252" i="13" s="1"/>
  <c r="T218" i="13"/>
  <c r="AA218" i="13" s="1"/>
  <c r="G38" i="13"/>
  <c r="T224" i="13"/>
  <c r="AA224" i="13" s="1"/>
  <c r="T115" i="13"/>
  <c r="AA115" i="13" s="1"/>
  <c r="D47" i="16"/>
  <c r="T103" i="13"/>
  <c r="AA103" i="13" s="1"/>
  <c r="F38" i="13"/>
  <c r="T39" i="13" s="1"/>
  <c r="AA39" i="13" s="1"/>
  <c r="T197" i="13"/>
  <c r="D83" i="16" s="1"/>
  <c r="T69" i="13"/>
  <c r="AA69" i="13" s="1"/>
  <c r="T223" i="13"/>
  <c r="AA223" i="13" s="1"/>
  <c r="D25" i="16"/>
  <c r="T222" i="13"/>
  <c r="D45" i="16"/>
  <c r="T221" i="13"/>
  <c r="BX46" i="13"/>
  <c r="I38" i="13"/>
  <c r="BY121" i="13"/>
  <c r="D69" i="16"/>
  <c r="T171" i="13"/>
  <c r="AA171" i="13" s="1"/>
  <c r="R38" i="13"/>
  <c r="U83" i="13" l="1"/>
  <c r="U87" i="13"/>
  <c r="AA87" i="13" s="1"/>
  <c r="AB87" i="13" s="1"/>
  <c r="AA83" i="13"/>
  <c r="U88" i="13"/>
  <c r="AA88" i="13" s="1"/>
  <c r="AB88" i="13" s="1"/>
  <c r="F14" i="5"/>
  <c r="AK256" i="13"/>
  <c r="BT256" i="13" s="1"/>
  <c r="AJ256" i="13"/>
  <c r="BS256" i="13" s="1"/>
  <c r="AI256" i="13"/>
  <c r="BR256" i="13" s="1"/>
  <c r="F73" i="5"/>
  <c r="AK257" i="13"/>
  <c r="BT257" i="13" s="1"/>
  <c r="AJ257" i="13"/>
  <c r="BS257" i="13" s="1"/>
  <c r="AI257" i="13"/>
  <c r="BR257" i="13" s="1"/>
  <c r="Y91" i="13"/>
  <c r="F41" i="5"/>
  <c r="AJ235" i="13"/>
  <c r="BG235" i="13" s="1"/>
  <c r="BH235" i="13" s="1"/>
  <c r="P41" i="5" s="1"/>
  <c r="AI235" i="13"/>
  <c r="BD235" i="13" s="1"/>
  <c r="BE235" i="13" s="1"/>
  <c r="I41" i="5" s="1"/>
  <c r="AK235" i="13"/>
  <c r="BJ235" i="13" s="1"/>
  <c r="BK235" i="13" s="1"/>
  <c r="W41" i="5" s="1"/>
  <c r="D190" i="21"/>
  <c r="C191" i="5"/>
  <c r="C192" i="5"/>
  <c r="D192" i="21" s="1"/>
  <c r="C91" i="5"/>
  <c r="D90" i="21"/>
  <c r="C61" i="5"/>
  <c r="D60" i="21"/>
  <c r="E215" i="21"/>
  <c r="AJ104" i="13"/>
  <c r="AI104" i="13"/>
  <c r="AK104" i="13"/>
  <c r="U51" i="13"/>
  <c r="AA51" i="13" s="1"/>
  <c r="AI255" i="13"/>
  <c r="AJ255" i="13"/>
  <c r="AK255" i="13"/>
  <c r="F71" i="5"/>
  <c r="AC71" i="5" s="1"/>
  <c r="AK253" i="13"/>
  <c r="AI253" i="13"/>
  <c r="AJ253" i="13"/>
  <c r="E214" i="21"/>
  <c r="W97" i="21"/>
  <c r="W98" i="21"/>
  <c r="U145" i="13"/>
  <c r="AB211" i="21"/>
  <c r="AA49" i="13"/>
  <c r="AB49" i="13" s="1"/>
  <c r="U48" i="13"/>
  <c r="U212" i="13"/>
  <c r="U213" i="13" s="1"/>
  <c r="AA211" i="13"/>
  <c r="AJ234" i="13"/>
  <c r="AI234" i="13"/>
  <c r="AK234" i="13"/>
  <c r="BJ234" i="13" s="1"/>
  <c r="AJ248" i="13"/>
  <c r="AI248" i="13"/>
  <c r="AK248" i="13"/>
  <c r="AI249" i="13"/>
  <c r="AK249" i="13"/>
  <c r="AJ249" i="13"/>
  <c r="AI246" i="13"/>
  <c r="AK246" i="13"/>
  <c r="AJ246" i="13"/>
  <c r="AI238" i="13"/>
  <c r="AK238" i="13"/>
  <c r="AJ238" i="13"/>
  <c r="AK247" i="13"/>
  <c r="AJ247" i="13"/>
  <c r="AI247" i="13"/>
  <c r="AJ252" i="13"/>
  <c r="AI252" i="13"/>
  <c r="K79" i="11" s="1"/>
  <c r="AK252" i="13"/>
  <c r="AI251" i="13"/>
  <c r="AK251" i="13"/>
  <c r="BJ251" i="13" s="1"/>
  <c r="AJ251" i="13"/>
  <c r="U210" i="13"/>
  <c r="AA210" i="13" s="1"/>
  <c r="U80" i="13"/>
  <c r="U81" i="13" s="1"/>
  <c r="F155" i="5"/>
  <c r="Y77" i="13"/>
  <c r="D7" i="16"/>
  <c r="Y31" i="13"/>
  <c r="AA31" i="13" s="1"/>
  <c r="AB31" i="13" s="1"/>
  <c r="Y58" i="13"/>
  <c r="AA58" i="13" s="1"/>
  <c r="AB58" i="13" s="1"/>
  <c r="Y221" i="13"/>
  <c r="AA221" i="13" s="1"/>
  <c r="AB221" i="13" s="1"/>
  <c r="I28" i="3" s="1"/>
  <c r="Y76" i="13"/>
  <c r="AA76" i="13" s="1"/>
  <c r="AB76" i="13" s="1"/>
  <c r="Y61" i="13"/>
  <c r="AA61" i="13" s="1"/>
  <c r="AB61" i="13" s="1"/>
  <c r="Y206" i="13"/>
  <c r="AA206" i="13" s="1"/>
  <c r="U91" i="13"/>
  <c r="Y60" i="13"/>
  <c r="AA60" i="13" s="1"/>
  <c r="AB60" i="13" s="1"/>
  <c r="D101" i="16"/>
  <c r="AB224" i="13"/>
  <c r="AJ224" i="13" s="1"/>
  <c r="D97" i="16"/>
  <c r="Y114" i="13"/>
  <c r="Y205" i="13"/>
  <c r="Y42" i="13"/>
  <c r="AA42" i="13" s="1"/>
  <c r="AB42" i="13" s="1"/>
  <c r="Y78" i="13"/>
  <c r="AA78" i="13" s="1"/>
  <c r="AB78" i="13" s="1"/>
  <c r="Y203" i="13"/>
  <c r="Y53" i="13"/>
  <c r="AA53" i="13" s="1"/>
  <c r="AB53" i="13" s="1"/>
  <c r="Y54" i="13"/>
  <c r="AA54" i="13" s="1"/>
  <c r="AB54" i="13" s="1"/>
  <c r="U92" i="13"/>
  <c r="D95" i="16"/>
  <c r="Y33" i="13"/>
  <c r="AA33" i="13" s="1"/>
  <c r="AB33" i="13" s="1"/>
  <c r="Y28" i="13"/>
  <c r="AA28" i="13" s="1"/>
  <c r="AB28" i="13" s="1"/>
  <c r="Y119" i="13"/>
  <c r="AA119" i="13" s="1"/>
  <c r="AB119" i="13" s="1"/>
  <c r="D17" i="16"/>
  <c r="D100" i="16"/>
  <c r="Y52" i="13"/>
  <c r="AA52" i="13" s="1"/>
  <c r="AB52" i="13" s="1"/>
  <c r="Y85" i="13"/>
  <c r="AA85" i="13" s="1"/>
  <c r="AB85" i="13" s="1"/>
  <c r="D99" i="16"/>
  <c r="Y222" i="13"/>
  <c r="AA222" i="13" s="1"/>
  <c r="AB222" i="13" s="1"/>
  <c r="AK222" i="13" s="1"/>
  <c r="Y202" i="13"/>
  <c r="Y84" i="13"/>
  <c r="D59" i="16"/>
  <c r="Y32" i="13"/>
  <c r="AA32" i="13" s="1"/>
  <c r="AB32" i="13" s="1"/>
  <c r="Y212" i="13"/>
  <c r="D29" i="16"/>
  <c r="Y50" i="13"/>
  <c r="AA50" i="13" s="1"/>
  <c r="AB50" i="13" s="1"/>
  <c r="Y74" i="13"/>
  <c r="AA74" i="13" s="1"/>
  <c r="AB74" i="13" s="1"/>
  <c r="Y213" i="13"/>
  <c r="AB184" i="13"/>
  <c r="AB64" i="13"/>
  <c r="AB142" i="13"/>
  <c r="AB181" i="13"/>
  <c r="AB195" i="13"/>
  <c r="AB163" i="13"/>
  <c r="AB161" i="13"/>
  <c r="AB40" i="13"/>
  <c r="AB190" i="13"/>
  <c r="AB147" i="13"/>
  <c r="AB47" i="13"/>
  <c r="AB146" i="13"/>
  <c r="AB70" i="13"/>
  <c r="AB140" i="13"/>
  <c r="F134" i="5" s="1"/>
  <c r="AB23" i="13"/>
  <c r="AB102" i="13"/>
  <c r="AB191" i="13"/>
  <c r="AB122" i="13"/>
  <c r="AB188" i="13"/>
  <c r="AB136" i="13"/>
  <c r="AB73" i="13"/>
  <c r="AB182" i="13"/>
  <c r="AB118" i="13"/>
  <c r="AB156" i="13"/>
  <c r="F151" i="5" s="1"/>
  <c r="AC151" i="5" s="1"/>
  <c r="AB116" i="13"/>
  <c r="AB194" i="13"/>
  <c r="AB149" i="13"/>
  <c r="AB71" i="13"/>
  <c r="AI71" i="13" s="1"/>
  <c r="AB72" i="13"/>
  <c r="AB193" i="13"/>
  <c r="AB143" i="13"/>
  <c r="AB151" i="13"/>
  <c r="AB105" i="13"/>
  <c r="AB132" i="13"/>
  <c r="AB150" i="13"/>
  <c r="F145" i="5" s="1"/>
  <c r="AB174" i="13"/>
  <c r="AB131" i="13"/>
  <c r="AI131" i="13" s="1"/>
  <c r="AB57" i="13"/>
  <c r="AB133" i="13"/>
  <c r="F258" i="5"/>
  <c r="F167" i="5"/>
  <c r="U165" i="13"/>
  <c r="F40" i="5"/>
  <c r="T113" i="13"/>
  <c r="AA113" i="13" s="1"/>
  <c r="U89" i="13"/>
  <c r="AB209" i="13"/>
  <c r="D90" i="16"/>
  <c r="AB24" i="13"/>
  <c r="D21" i="16"/>
  <c r="D24" i="16"/>
  <c r="T170" i="13"/>
  <c r="AA170" i="13" s="1"/>
  <c r="T41" i="13"/>
  <c r="AA41" i="13" s="1"/>
  <c r="T201" i="13"/>
  <c r="U201" i="13" s="1"/>
  <c r="U203" i="13" s="1"/>
  <c r="F199" i="5"/>
  <c r="D89" i="16"/>
  <c r="T200" i="13"/>
  <c r="AA200" i="13" s="1"/>
  <c r="D9" i="16"/>
  <c r="D61" i="16"/>
  <c r="D22" i="16"/>
  <c r="AB15" i="13"/>
  <c r="BD83" i="13"/>
  <c r="BE83" i="13" s="1"/>
  <c r="I82" i="5" s="1"/>
  <c r="BG83" i="13"/>
  <c r="BH83" i="13" s="1"/>
  <c r="P82" i="5" s="1"/>
  <c r="BJ83" i="13"/>
  <c r="BK83" i="13" s="1"/>
  <c r="W82" i="5" s="1"/>
  <c r="BG86" i="13"/>
  <c r="BH86" i="13" s="1"/>
  <c r="P85" i="5" s="1"/>
  <c r="BJ86" i="13"/>
  <c r="BK86" i="13" s="1"/>
  <c r="W85" i="5" s="1"/>
  <c r="BD86" i="13"/>
  <c r="BE86" i="13" s="1"/>
  <c r="I85" i="5" s="1"/>
  <c r="D44" i="16"/>
  <c r="BG103" i="13"/>
  <c r="BH103" i="13" s="1"/>
  <c r="P100" i="5" s="1"/>
  <c r="BJ103" i="13"/>
  <c r="BK103" i="13" s="1"/>
  <c r="W100" i="5" s="1"/>
  <c r="BD103" i="13"/>
  <c r="BE103" i="13" s="1"/>
  <c r="I100" i="5" s="1"/>
  <c r="BG95" i="13"/>
  <c r="BH95" i="13" s="1"/>
  <c r="BJ95" i="13"/>
  <c r="BK95" i="13" s="1"/>
  <c r="BD95" i="13"/>
  <c r="BE95" i="13" s="1"/>
  <c r="BG55" i="13"/>
  <c r="BH55" i="13" s="1"/>
  <c r="BJ55" i="13"/>
  <c r="BK55" i="13" s="1"/>
  <c r="BD55" i="13"/>
  <c r="BE55" i="13" s="1"/>
  <c r="BG117" i="13"/>
  <c r="BH117" i="13" s="1"/>
  <c r="P111" i="5" s="1"/>
  <c r="P111" i="21" s="1"/>
  <c r="BJ117" i="13"/>
  <c r="BK117" i="13" s="1"/>
  <c r="W111" i="5" s="1"/>
  <c r="W111" i="21" s="1"/>
  <c r="BD117" i="13"/>
  <c r="BE117" i="13" s="1"/>
  <c r="I111" i="5" s="1"/>
  <c r="I111" i="21" s="1"/>
  <c r="BG138" i="13"/>
  <c r="BH138" i="13" s="1"/>
  <c r="P132" i="5" s="1"/>
  <c r="BD138" i="13"/>
  <c r="BE138" i="13" s="1"/>
  <c r="I132" i="5" s="1"/>
  <c r="BJ138" i="13"/>
  <c r="BK138" i="13" s="1"/>
  <c r="W132" i="5" s="1"/>
  <c r="AB25" i="13"/>
  <c r="AB177" i="13"/>
  <c r="AB44" i="13"/>
  <c r="BD82" i="13"/>
  <c r="BE82" i="13" s="1"/>
  <c r="BG82" i="13"/>
  <c r="BH82" i="13" s="1"/>
  <c r="BJ82" i="13"/>
  <c r="BK82" i="13" s="1"/>
  <c r="D76" i="16"/>
  <c r="D53" i="16"/>
  <c r="BJ160" i="13"/>
  <c r="BK160" i="13" s="1"/>
  <c r="W156" i="5" s="1"/>
  <c r="BG160" i="13"/>
  <c r="BH160" i="13" s="1"/>
  <c r="P156" i="5" s="1"/>
  <c r="BD160" i="13"/>
  <c r="BE160" i="13" s="1"/>
  <c r="BG179" i="13"/>
  <c r="BH179" i="13" s="1"/>
  <c r="P176" i="5" s="1"/>
  <c r="BJ179" i="13"/>
  <c r="BK179" i="13" s="1"/>
  <c r="W176" i="5" s="1"/>
  <c r="BD179" i="13"/>
  <c r="BE179" i="13" s="1"/>
  <c r="I176" i="5" s="1"/>
  <c r="AB11" i="13"/>
  <c r="AB17" i="13"/>
  <c r="BJ230" i="13"/>
  <c r="BK230" i="13" s="1"/>
  <c r="W227" i="5" s="1"/>
  <c r="BD230" i="13"/>
  <c r="BE230" i="13" s="1"/>
  <c r="I227" i="5" s="1"/>
  <c r="BG230" i="13"/>
  <c r="BH230" i="13" s="1"/>
  <c r="P227" i="5" s="1"/>
  <c r="AB157" i="13"/>
  <c r="D13" i="16"/>
  <c r="AB35" i="13"/>
  <c r="D10" i="16"/>
  <c r="AB172" i="13"/>
  <c r="AB120" i="13"/>
  <c r="AB128" i="13"/>
  <c r="AB180" i="13"/>
  <c r="F101" i="5"/>
  <c r="AB135" i="13"/>
  <c r="AB45" i="13"/>
  <c r="BG208" i="13"/>
  <c r="BH208" i="13" s="1"/>
  <c r="P205" i="5" s="1"/>
  <c r="P206" i="21" s="1"/>
  <c r="BD208" i="13"/>
  <c r="BE208" i="13" s="1"/>
  <c r="I205" i="5" s="1"/>
  <c r="I206" i="21" s="1"/>
  <c r="BJ208" i="13"/>
  <c r="BK208" i="13" s="1"/>
  <c r="W205" i="5" s="1"/>
  <c r="W206" i="21" s="1"/>
  <c r="AB21" i="13"/>
  <c r="AB186" i="13"/>
  <c r="AB176" i="13"/>
  <c r="BG183" i="13"/>
  <c r="BH183" i="13" s="1"/>
  <c r="P180" i="5" s="1"/>
  <c r="BJ183" i="13"/>
  <c r="BK183" i="13" s="1"/>
  <c r="W180" i="5" s="1"/>
  <c r="BD183" i="13"/>
  <c r="BE183" i="13" s="1"/>
  <c r="I180" i="5" s="1"/>
  <c r="AB230" i="13"/>
  <c r="AK230" i="13" s="1"/>
  <c r="AB137" i="13"/>
  <c r="AB43" i="13"/>
  <c r="AB158" i="13"/>
  <c r="AI158" i="13" s="1"/>
  <c r="BD207" i="13"/>
  <c r="BE207" i="13" s="1"/>
  <c r="BG207" i="13"/>
  <c r="BH207" i="13" s="1"/>
  <c r="BJ207" i="13"/>
  <c r="BK207" i="13" s="1"/>
  <c r="BJ16" i="13"/>
  <c r="BK16" i="13" s="1"/>
  <c r="W18" i="5" s="1"/>
  <c r="BG16" i="13"/>
  <c r="BH16" i="13" s="1"/>
  <c r="P18" i="5" s="1"/>
  <c r="BD16" i="13"/>
  <c r="BE16" i="13" s="1"/>
  <c r="I18" i="5" s="1"/>
  <c r="BJ79" i="13"/>
  <c r="BK79" i="13" s="1"/>
  <c r="W79" i="5" s="1"/>
  <c r="W80" i="21" s="1"/>
  <c r="BD79" i="13"/>
  <c r="BE79" i="13" s="1"/>
  <c r="I79" i="5" s="1"/>
  <c r="BG79" i="13"/>
  <c r="BH79" i="13" s="1"/>
  <c r="P79" i="5" s="1"/>
  <c r="BG63" i="13"/>
  <c r="BH63" i="13" s="1"/>
  <c r="P62" i="5" s="1"/>
  <c r="BD63" i="13"/>
  <c r="BE63" i="13" s="1"/>
  <c r="BJ63" i="13"/>
  <c r="BK63" i="13" s="1"/>
  <c r="W62" i="5" s="1"/>
  <c r="BD19" i="13"/>
  <c r="BE19" i="13" s="1"/>
  <c r="BG19" i="13"/>
  <c r="BH19" i="13" s="1"/>
  <c r="P21" i="5" s="1"/>
  <c r="BJ19" i="13"/>
  <c r="BK19" i="13" s="1"/>
  <c r="W21" i="5" s="1"/>
  <c r="W22" i="21" s="1"/>
  <c r="BG134" i="13"/>
  <c r="BH134" i="13" s="1"/>
  <c r="P128" i="5" s="1"/>
  <c r="BJ134" i="13"/>
  <c r="BK134" i="13" s="1"/>
  <c r="W128" i="5" s="1"/>
  <c r="BD134" i="13"/>
  <c r="BE134" i="13" s="1"/>
  <c r="I128" i="5" s="1"/>
  <c r="AB14" i="13"/>
  <c r="BJ122" i="13"/>
  <c r="BK122" i="13" s="1"/>
  <c r="W116" i="5" s="1"/>
  <c r="BD122" i="13"/>
  <c r="BE122" i="13" s="1"/>
  <c r="I116" i="5" s="1"/>
  <c r="BG122" i="13"/>
  <c r="BH122" i="13" s="1"/>
  <c r="P116" i="5" s="1"/>
  <c r="AB173" i="13"/>
  <c r="AB185" i="13"/>
  <c r="AB141" i="13"/>
  <c r="D11" i="16"/>
  <c r="D12" i="16"/>
  <c r="AB12" i="13"/>
  <c r="F13" i="5" s="1"/>
  <c r="BG30" i="13"/>
  <c r="BH30" i="13" s="1"/>
  <c r="P32" i="5" s="1"/>
  <c r="BJ30" i="13"/>
  <c r="BK30" i="13" s="1"/>
  <c r="W32" i="5" s="1"/>
  <c r="BD30" i="13"/>
  <c r="BE30" i="13" s="1"/>
  <c r="BG175" i="13"/>
  <c r="BH175" i="13" s="1"/>
  <c r="P172" i="5" s="1"/>
  <c r="BJ175" i="13"/>
  <c r="BK175" i="13" s="1"/>
  <c r="W172" i="5" s="1"/>
  <c r="BD175" i="13"/>
  <c r="BE175" i="13" s="1"/>
  <c r="I172" i="5" s="1"/>
  <c r="BG59" i="13"/>
  <c r="BH59" i="13" s="1"/>
  <c r="P59" i="5" s="1"/>
  <c r="BD59" i="13"/>
  <c r="BE59" i="13" s="1"/>
  <c r="BJ59" i="13"/>
  <c r="BK59" i="13" s="1"/>
  <c r="W59" i="5" s="1"/>
  <c r="BG90" i="13"/>
  <c r="BH90" i="13" s="1"/>
  <c r="P89" i="5" s="1"/>
  <c r="P89" i="21" s="1"/>
  <c r="BJ90" i="13"/>
  <c r="BK90" i="13" s="1"/>
  <c r="W89" i="5" s="1"/>
  <c r="W89" i="21" s="1"/>
  <c r="BD90" i="13"/>
  <c r="BE90" i="13" s="1"/>
  <c r="I89" i="5" s="1"/>
  <c r="I89" i="21" s="1"/>
  <c r="BD56" i="13"/>
  <c r="BE56" i="13" s="1"/>
  <c r="I56" i="5" s="1"/>
  <c r="I56" i="21" s="1"/>
  <c r="BG56" i="13"/>
  <c r="BH56" i="13" s="1"/>
  <c r="P56" i="5" s="1"/>
  <c r="P56" i="21" s="1"/>
  <c r="BJ56" i="13"/>
  <c r="BK56" i="13" s="1"/>
  <c r="W56" i="5" s="1"/>
  <c r="W56" i="21" s="1"/>
  <c r="BD35" i="13"/>
  <c r="BE35" i="13" s="1"/>
  <c r="BG35" i="13"/>
  <c r="BH35" i="13" s="1"/>
  <c r="BJ35" i="13"/>
  <c r="BK35" i="13" s="1"/>
  <c r="BJ189" i="13"/>
  <c r="BK189" i="13" s="1"/>
  <c r="W186" i="5" s="1"/>
  <c r="BD189" i="13"/>
  <c r="BE189" i="13" s="1"/>
  <c r="I186" i="5" s="1"/>
  <c r="BG189" i="13"/>
  <c r="BH189" i="13" s="1"/>
  <c r="P186" i="5" s="1"/>
  <c r="AB22" i="13"/>
  <c r="AB27" i="13"/>
  <c r="BJ148" i="13"/>
  <c r="BK148" i="13" s="1"/>
  <c r="W143" i="5" s="1"/>
  <c r="BG148" i="13"/>
  <c r="BH148" i="13" s="1"/>
  <c r="P143" i="5" s="1"/>
  <c r="BD148" i="13"/>
  <c r="BE148" i="13" s="1"/>
  <c r="AB101" i="13"/>
  <c r="BG62" i="13"/>
  <c r="BH62" i="13" s="1"/>
  <c r="BJ62" i="13"/>
  <c r="BK62" i="13" s="1"/>
  <c r="BD62" i="13"/>
  <c r="BE62" i="13" s="1"/>
  <c r="AB29" i="13"/>
  <c r="AB13" i="13"/>
  <c r="BJ165" i="13"/>
  <c r="BK165" i="13" s="1"/>
  <c r="W161" i="5" s="1"/>
  <c r="BD165" i="13"/>
  <c r="BE165" i="13" s="1"/>
  <c r="I161" i="5" s="1"/>
  <c r="BG165" i="13"/>
  <c r="BH165" i="13" s="1"/>
  <c r="P161" i="5" s="1"/>
  <c r="AB129" i="13"/>
  <c r="BG51" i="13"/>
  <c r="BH51" i="13" s="1"/>
  <c r="P52" i="5" s="1"/>
  <c r="BD51" i="13"/>
  <c r="BE51" i="13" s="1"/>
  <c r="BJ51" i="13"/>
  <c r="BK51" i="13" s="1"/>
  <c r="W52" i="5" s="1"/>
  <c r="BG144" i="13"/>
  <c r="BH144" i="13" s="1"/>
  <c r="P138" i="5" s="1"/>
  <c r="BJ144" i="13"/>
  <c r="BK144" i="13" s="1"/>
  <c r="W138" i="5" s="1"/>
  <c r="BD144" i="13"/>
  <c r="BE144" i="13" s="1"/>
  <c r="I138" i="5" s="1"/>
  <c r="BG34" i="13"/>
  <c r="BH34" i="13" s="1"/>
  <c r="BJ34" i="13"/>
  <c r="BK34" i="13" s="1"/>
  <c r="BD34" i="13"/>
  <c r="BE34" i="13" s="1"/>
  <c r="AB20" i="13"/>
  <c r="BD93" i="13"/>
  <c r="BE93" i="13" s="1"/>
  <c r="I92" i="5" s="1"/>
  <c r="BG93" i="13"/>
  <c r="BH93" i="13" s="1"/>
  <c r="P92" i="5" s="1"/>
  <c r="BJ93" i="13"/>
  <c r="BK93" i="13" s="1"/>
  <c r="W92" i="5" s="1"/>
  <c r="AB18" i="13"/>
  <c r="AB139" i="13"/>
  <c r="AB127" i="13"/>
  <c r="AB196" i="13"/>
  <c r="AB178" i="13"/>
  <c r="BE204" i="13"/>
  <c r="I202" i="5" s="1"/>
  <c r="I203" i="21" s="1"/>
  <c r="BE126" i="13"/>
  <c r="I120" i="5" s="1"/>
  <c r="BE39" i="13"/>
  <c r="I39" i="5" s="1"/>
  <c r="I39" i="21" s="1"/>
  <c r="F260" i="5"/>
  <c r="AC260" i="5" s="1"/>
  <c r="F187" i="5"/>
  <c r="F261" i="5"/>
  <c r="F190" i="5"/>
  <c r="F247" i="5"/>
  <c r="T229" i="13"/>
  <c r="AA229" i="13" s="1"/>
  <c r="T227" i="13"/>
  <c r="AA227" i="13" s="1"/>
  <c r="T225" i="13"/>
  <c r="AA225" i="13" s="1"/>
  <c r="T243" i="13"/>
  <c r="AB243" i="13" s="1"/>
  <c r="F173" i="5" s="1"/>
  <c r="AC173" i="5" s="1"/>
  <c r="T239" i="13"/>
  <c r="AB239" i="13" s="1"/>
  <c r="D63" i="16"/>
  <c r="T245" i="13"/>
  <c r="AB245" i="13" s="1"/>
  <c r="T244" i="13"/>
  <c r="AB244" i="13" s="1"/>
  <c r="T242" i="13"/>
  <c r="AB242" i="13" s="1"/>
  <c r="T240" i="13"/>
  <c r="AB240" i="13" s="1"/>
  <c r="D80" i="16"/>
  <c r="T237" i="13"/>
  <c r="AB237" i="13" s="1"/>
  <c r="T241" i="13"/>
  <c r="AB241" i="13" s="1"/>
  <c r="T236" i="13"/>
  <c r="T100" i="13"/>
  <c r="AA100" i="13" s="1"/>
  <c r="T152" i="13"/>
  <c r="D65" i="16" s="1"/>
  <c r="D62" i="16"/>
  <c r="AB228" i="13"/>
  <c r="AI228" i="13" s="1"/>
  <c r="D105" i="16"/>
  <c r="F105" i="16" s="1"/>
  <c r="AB226" i="13"/>
  <c r="AI226" i="13" s="1"/>
  <c r="D103" i="16"/>
  <c r="F103" i="16" s="1"/>
  <c r="D77" i="16"/>
  <c r="D82" i="16"/>
  <c r="D81" i="16"/>
  <c r="D60" i="16"/>
  <c r="D64" i="16"/>
  <c r="BJ130" i="13"/>
  <c r="BK130" i="13" s="1"/>
  <c r="W124" i="5" s="1"/>
  <c r="BG130" i="13"/>
  <c r="BH130" i="13" s="1"/>
  <c r="P124" i="5" s="1"/>
  <c r="BD130" i="13"/>
  <c r="BD192" i="13"/>
  <c r="BG192" i="13"/>
  <c r="BH192" i="13" s="1"/>
  <c r="P189" i="5" s="1"/>
  <c r="P189" i="21" s="1"/>
  <c r="BJ192" i="13"/>
  <c r="BK192" i="13" s="1"/>
  <c r="W189" i="5" s="1"/>
  <c r="W189" i="21" s="1"/>
  <c r="BY108" i="13"/>
  <c r="T219" i="13"/>
  <c r="T169" i="13"/>
  <c r="AA169" i="13" s="1"/>
  <c r="T217" i="13"/>
  <c r="AA217" i="13" s="1"/>
  <c r="T155" i="13"/>
  <c r="AA155" i="13" s="1"/>
  <c r="BG39" i="13"/>
  <c r="BH39" i="13" s="1"/>
  <c r="P39" i="5" s="1"/>
  <c r="P39" i="21" s="1"/>
  <c r="AR75" i="5"/>
  <c r="AR39" i="5"/>
  <c r="BY5" i="13"/>
  <c r="AS75" i="5"/>
  <c r="AV39" i="5"/>
  <c r="AW75" i="5"/>
  <c r="AW39" i="5"/>
  <c r="AT75" i="5"/>
  <c r="AX75" i="5"/>
  <c r="AT39" i="5"/>
  <c r="AU75" i="5"/>
  <c r="AU39" i="5"/>
  <c r="AS39" i="5"/>
  <c r="AX39" i="5"/>
  <c r="AV75" i="5"/>
  <c r="BJ39" i="13"/>
  <c r="BK39" i="13" s="1"/>
  <c r="W39" i="5" s="1"/>
  <c r="W39" i="21" s="1"/>
  <c r="BX121" i="13"/>
  <c r="CA121" i="13" s="1"/>
  <c r="BY187" i="13"/>
  <c r="BX62" i="13"/>
  <c r="BZ62" i="13" s="1"/>
  <c r="BY90" i="13"/>
  <c r="BX159" i="13"/>
  <c r="BZ159" i="13" s="1"/>
  <c r="BY159" i="13"/>
  <c r="BX109" i="13"/>
  <c r="BZ109" i="13" s="1"/>
  <c r="BY109" i="13"/>
  <c r="BX108" i="13"/>
  <c r="CA108" i="13" s="1"/>
  <c r="BY62" i="13"/>
  <c r="BX90" i="13"/>
  <c r="CC90" i="13" s="1"/>
  <c r="BX83" i="13"/>
  <c r="CC83" i="13" s="1"/>
  <c r="BX208" i="13"/>
  <c r="CC208" i="13" s="1"/>
  <c r="BY79" i="13"/>
  <c r="BX160" i="13"/>
  <c r="CA160" i="13" s="1"/>
  <c r="BY164" i="13"/>
  <c r="BY208" i="13"/>
  <c r="BX164" i="13"/>
  <c r="CC164" i="13" s="1"/>
  <c r="BX95" i="13"/>
  <c r="BZ95" i="13" s="1"/>
  <c r="BY138" i="13"/>
  <c r="BX115" i="13"/>
  <c r="CC115" i="13" s="1"/>
  <c r="BX55" i="13"/>
  <c r="BZ55" i="13" s="1"/>
  <c r="CG55" i="13" s="1"/>
  <c r="BY115" i="13"/>
  <c r="BY86" i="13"/>
  <c r="BX211" i="13"/>
  <c r="BZ211" i="13" s="1"/>
  <c r="CG211" i="13" s="1"/>
  <c r="BY55" i="13"/>
  <c r="BX86" i="13"/>
  <c r="BZ86" i="13" s="1"/>
  <c r="BY160" i="13"/>
  <c r="BY83" i="13"/>
  <c r="BY95" i="13"/>
  <c r="BX138" i="13"/>
  <c r="BZ138" i="13" s="1"/>
  <c r="CG138" i="13" s="1"/>
  <c r="BX79" i="13"/>
  <c r="BZ79" i="13" s="1"/>
  <c r="BY211" i="13"/>
  <c r="BX207" i="13"/>
  <c r="BZ207" i="13" s="1"/>
  <c r="BX93" i="13"/>
  <c r="CC93" i="13" s="1"/>
  <c r="BX51" i="13"/>
  <c r="BZ51" i="13" s="1"/>
  <c r="CG51" i="13" s="1"/>
  <c r="BX200" i="13"/>
  <c r="CC200" i="13" s="1"/>
  <c r="BX113" i="13"/>
  <c r="BZ113" i="13" s="1"/>
  <c r="BX155" i="13"/>
  <c r="BZ155" i="13" s="1"/>
  <c r="BY56" i="13"/>
  <c r="BY93" i="13"/>
  <c r="BY207" i="13"/>
  <c r="BY26" i="13"/>
  <c r="BY82" i="13"/>
  <c r="BX100" i="13"/>
  <c r="CA100" i="13" s="1"/>
  <c r="BX134" i="13"/>
  <c r="BZ134" i="13" s="1"/>
  <c r="BY96" i="13"/>
  <c r="BY237" i="13"/>
  <c r="BY68" i="13"/>
  <c r="BY179" i="13"/>
  <c r="BX10" i="13"/>
  <c r="BZ10" i="13" s="1"/>
  <c r="BY65" i="13"/>
  <c r="BY63" i="13"/>
  <c r="BX204" i="13"/>
  <c r="BZ204" i="13" s="1"/>
  <c r="CG204" i="13" s="1"/>
  <c r="BX169" i="13"/>
  <c r="CA169" i="13" s="1"/>
  <c r="BX82" i="13"/>
  <c r="BZ82" i="13" s="1"/>
  <c r="BX96" i="13"/>
  <c r="BZ96" i="13" s="1"/>
  <c r="BY75" i="13"/>
  <c r="BY51" i="13"/>
  <c r="BY39" i="13"/>
  <c r="BY38" i="13"/>
  <c r="BX117" i="13"/>
  <c r="BZ117" i="13" s="1"/>
  <c r="CG117" i="13" s="1"/>
  <c r="BX63" i="13"/>
  <c r="CA63" i="13" s="1"/>
  <c r="BX75" i="13"/>
  <c r="BZ75" i="13" s="1"/>
  <c r="CG75" i="13" s="1"/>
  <c r="BX69" i="13"/>
  <c r="CA69" i="13" s="1"/>
  <c r="BY59" i="13"/>
  <c r="BY199" i="13"/>
  <c r="BY30" i="13"/>
  <c r="BY126" i="13"/>
  <c r="BY204" i="13"/>
  <c r="BY16" i="13"/>
  <c r="BY19" i="13"/>
  <c r="BX106" i="13"/>
  <c r="BZ106" i="13" s="1"/>
  <c r="BX65" i="13"/>
  <c r="CC65" i="13" s="1"/>
  <c r="BX126" i="13"/>
  <c r="BZ126" i="13" s="1"/>
  <c r="BX56" i="13"/>
  <c r="BZ56" i="13" s="1"/>
  <c r="BY252" i="13"/>
  <c r="BY236" i="13"/>
  <c r="BY112" i="13"/>
  <c r="BY171" i="13"/>
  <c r="BX39" i="13"/>
  <c r="BZ39" i="13" s="1"/>
  <c r="CG39" i="13" s="1"/>
  <c r="BX16" i="13"/>
  <c r="BZ16" i="13" s="1"/>
  <c r="BX171" i="13"/>
  <c r="CC171" i="13" s="1"/>
  <c r="BX59" i="13"/>
  <c r="BZ59" i="13" s="1"/>
  <c r="BX30" i="13"/>
  <c r="BZ30" i="13" s="1"/>
  <c r="BY69" i="13"/>
  <c r="BY183" i="13"/>
  <c r="BY117" i="13"/>
  <c r="BY100" i="13"/>
  <c r="BY155" i="13"/>
  <c r="BY200" i="13"/>
  <c r="BY10" i="13"/>
  <c r="BY107" i="13"/>
  <c r="BY125" i="13"/>
  <c r="BY169" i="13"/>
  <c r="BX107" i="13"/>
  <c r="BZ107" i="13" s="1"/>
  <c r="BX19" i="13"/>
  <c r="CA19" i="13" s="1"/>
  <c r="BX26" i="13"/>
  <c r="CA26" i="13" s="1"/>
  <c r="BX183" i="13"/>
  <c r="BZ183" i="13" s="1"/>
  <c r="BX179" i="13"/>
  <c r="CA179" i="13" s="1"/>
  <c r="BY106" i="13"/>
  <c r="BY134" i="13"/>
  <c r="BY113" i="13"/>
  <c r="BY46" i="13"/>
  <c r="BY99" i="13"/>
  <c r="BY154" i="13"/>
  <c r="BG126" i="13"/>
  <c r="BH126" i="13" s="1"/>
  <c r="P120" i="5" s="1"/>
  <c r="BJ126" i="13"/>
  <c r="BK126" i="13" s="1"/>
  <c r="W120" i="5" s="1"/>
  <c r="BX198" i="13"/>
  <c r="CA198" i="13" s="1"/>
  <c r="BY223" i="13"/>
  <c r="BY198" i="13"/>
  <c r="BY36" i="13"/>
  <c r="BY144" i="13"/>
  <c r="BY67" i="13"/>
  <c r="BY110" i="13"/>
  <c r="BX98" i="13"/>
  <c r="CA98" i="13" s="1"/>
  <c r="BY222" i="13"/>
  <c r="BY167" i="13"/>
  <c r="BY123" i="13"/>
  <c r="BY37" i="13"/>
  <c r="BY233" i="13"/>
  <c r="BY66" i="13"/>
  <c r="BY168" i="13"/>
  <c r="BY98" i="13"/>
  <c r="BY219" i="13"/>
  <c r="BY152" i="13"/>
  <c r="BY224" i="13"/>
  <c r="BY166" i="13"/>
  <c r="BY216" i="13"/>
  <c r="BY111" i="13"/>
  <c r="BY231" i="13"/>
  <c r="BX97" i="13"/>
  <c r="BZ97" i="13" s="1"/>
  <c r="BY35" i="13"/>
  <c r="BY221" i="13"/>
  <c r="BY220" i="13"/>
  <c r="BY153" i="13"/>
  <c r="BY197" i="13"/>
  <c r="BX144" i="13"/>
  <c r="BZ144" i="13" s="1"/>
  <c r="BY218" i="13"/>
  <c r="BY97" i="13"/>
  <c r="BY232" i="13"/>
  <c r="BY225" i="13"/>
  <c r="BY215" i="13"/>
  <c r="BY214" i="13"/>
  <c r="BY34" i="13"/>
  <c r="BY124" i="13"/>
  <c r="BY217" i="13"/>
  <c r="BD100" i="13"/>
  <c r="BX232" i="13"/>
  <c r="BX166" i="13"/>
  <c r="BZ187" i="13"/>
  <c r="CC187" i="13"/>
  <c r="CA187" i="13"/>
  <c r="BX34" i="13"/>
  <c r="BX66" i="13"/>
  <c r="BX219" i="13"/>
  <c r="BZ46" i="13"/>
  <c r="CG46" i="13" s="1"/>
  <c r="BX167" i="13"/>
  <c r="BX223" i="13"/>
  <c r="BX111" i="13"/>
  <c r="BX214" i="13"/>
  <c r="BX123" i="13"/>
  <c r="BX110" i="13"/>
  <c r="BX220" i="13"/>
  <c r="BX124" i="13"/>
  <c r="BX35" i="13"/>
  <c r="AB223" i="13"/>
  <c r="AJ223" i="13" s="1"/>
  <c r="BX152" i="13"/>
  <c r="BX153" i="13"/>
  <c r="BZ103" i="13"/>
  <c r="CC103" i="13"/>
  <c r="CA103" i="13"/>
  <c r="BX224" i="13"/>
  <c r="BX222" i="13"/>
  <c r="BX67" i="13"/>
  <c r="BX225" i="13"/>
  <c r="BX215" i="13"/>
  <c r="BX36" i="13"/>
  <c r="BX221" i="13"/>
  <c r="BX231" i="13"/>
  <c r="BX217" i="13"/>
  <c r="BX37" i="13"/>
  <c r="BX197" i="13"/>
  <c r="BX218" i="13"/>
  <c r="D87" i="16"/>
  <c r="AA204" i="13"/>
  <c r="BJ204" i="13"/>
  <c r="BK204" i="13" s="1"/>
  <c r="W202" i="5" s="1"/>
  <c r="W203" i="21" s="1"/>
  <c r="BG204" i="13"/>
  <c r="BH204" i="13" s="1"/>
  <c r="P202" i="5" s="1"/>
  <c r="P203" i="21" s="1"/>
  <c r="AB220" i="13"/>
  <c r="AK220" i="13" s="1"/>
  <c r="BG100" i="13"/>
  <c r="BH100" i="13" s="1"/>
  <c r="P97" i="5" s="1"/>
  <c r="BD107" i="13"/>
  <c r="BE107" i="13" s="1"/>
  <c r="BG107" i="13"/>
  <c r="BH107" i="13" s="1"/>
  <c r="BJ107" i="13"/>
  <c r="BK107" i="13" s="1"/>
  <c r="BD115" i="13"/>
  <c r="BJ115" i="13"/>
  <c r="BK115" i="13" s="1"/>
  <c r="W109" i="5" s="1"/>
  <c r="BG115" i="13"/>
  <c r="BH115" i="13" s="1"/>
  <c r="P109" i="5" s="1"/>
  <c r="BD159" i="13"/>
  <c r="BE159" i="13" s="1"/>
  <c r="BJ159" i="13"/>
  <c r="BK159" i="13" s="1"/>
  <c r="BG159" i="13"/>
  <c r="BH159" i="13" s="1"/>
  <c r="BD169" i="13"/>
  <c r="BG169" i="13"/>
  <c r="BH169" i="13" s="1"/>
  <c r="P165" i="5" s="1"/>
  <c r="BJ169" i="13"/>
  <c r="BK169" i="13" s="1"/>
  <c r="W165" i="5" s="1"/>
  <c r="BD171" i="13"/>
  <c r="BG171" i="13"/>
  <c r="BH171" i="13" s="1"/>
  <c r="P168" i="5" s="1"/>
  <c r="BJ171" i="13"/>
  <c r="BK171" i="13" s="1"/>
  <c r="W168" i="5" s="1"/>
  <c r="BD109" i="13"/>
  <c r="BE109" i="13" s="1"/>
  <c r="BJ109" i="13"/>
  <c r="BK109" i="13" s="1"/>
  <c r="BG109" i="13"/>
  <c r="BH109" i="13" s="1"/>
  <c r="BD121" i="13"/>
  <c r="BG121" i="13"/>
  <c r="BH121" i="13" s="1"/>
  <c r="P115" i="5" s="1"/>
  <c r="P114" i="21" s="1"/>
  <c r="BD164" i="13"/>
  <c r="BG164" i="13"/>
  <c r="BH164" i="13" s="1"/>
  <c r="P160" i="5" s="1"/>
  <c r="BJ164" i="13"/>
  <c r="BK164" i="13" s="1"/>
  <c r="W160" i="5" s="1"/>
  <c r="BD200" i="13"/>
  <c r="BJ200" i="13"/>
  <c r="BK200" i="13" s="1"/>
  <c r="W197" i="5" s="1"/>
  <c r="W198" i="21" s="1"/>
  <c r="BG200" i="13"/>
  <c r="BH200" i="13" s="1"/>
  <c r="P197" i="5" s="1"/>
  <c r="P198" i="21" s="1"/>
  <c r="D18" i="16"/>
  <c r="BD211" i="13"/>
  <c r="BG211" i="13"/>
  <c r="BH211" i="13" s="1"/>
  <c r="P208" i="5" s="1"/>
  <c r="P209" i="21" s="1"/>
  <c r="BJ211" i="13"/>
  <c r="BK211" i="13" s="1"/>
  <c r="W208" i="5" s="1"/>
  <c r="D8" i="16"/>
  <c r="D39" i="16"/>
  <c r="BD106" i="13"/>
  <c r="BE106" i="13" s="1"/>
  <c r="BG106" i="13"/>
  <c r="BH106" i="13" s="1"/>
  <c r="BJ106" i="13"/>
  <c r="BK106" i="13" s="1"/>
  <c r="AB218" i="13"/>
  <c r="AJ218" i="13" s="1"/>
  <c r="D19" i="16"/>
  <c r="D48" i="16"/>
  <c r="BD10" i="13"/>
  <c r="BJ10" i="13"/>
  <c r="BG10" i="13"/>
  <c r="BH10" i="13" s="1"/>
  <c r="D78" i="16"/>
  <c r="D54" i="16"/>
  <c r="BD108" i="13"/>
  <c r="BE108" i="13" s="1"/>
  <c r="BJ108" i="13"/>
  <c r="BK108" i="13" s="1"/>
  <c r="BG108" i="13"/>
  <c r="BH108" i="13" s="1"/>
  <c r="D98" i="16"/>
  <c r="D46" i="16"/>
  <c r="D23" i="16"/>
  <c r="BK10" i="13" l="1"/>
  <c r="W11" i="5" s="1"/>
  <c r="W11" i="21" s="1"/>
  <c r="AC14" i="5"/>
  <c r="F14" i="21"/>
  <c r="W33" i="21"/>
  <c r="I19" i="21"/>
  <c r="P33" i="21"/>
  <c r="P19" i="21"/>
  <c r="W19" i="21"/>
  <c r="P21" i="21"/>
  <c r="P22" i="21"/>
  <c r="M76" i="11"/>
  <c r="BK251" i="13"/>
  <c r="L76" i="11"/>
  <c r="BG251" i="13"/>
  <c r="BH251" i="13" s="1"/>
  <c r="BD251" i="13"/>
  <c r="BD158" i="13" s="1"/>
  <c r="J59" i="11"/>
  <c r="AP49" i="13"/>
  <c r="BB49" i="13" s="1"/>
  <c r="AO49" i="13"/>
  <c r="BA49" i="13" s="1"/>
  <c r="AA212" i="13"/>
  <c r="AC41" i="5"/>
  <c r="F41" i="21"/>
  <c r="AF41" i="21" s="1"/>
  <c r="W42" i="21"/>
  <c r="I42" i="21"/>
  <c r="P42" i="21"/>
  <c r="BS253" i="13"/>
  <c r="L62" i="11"/>
  <c r="BT253" i="13"/>
  <c r="M62" i="11"/>
  <c r="BR253" i="13"/>
  <c r="K62" i="11"/>
  <c r="BR251" i="13"/>
  <c r="K76" i="11"/>
  <c r="BT255" i="13"/>
  <c r="M75" i="11"/>
  <c r="BJ252" i="13"/>
  <c r="M79" i="11"/>
  <c r="BS255" i="13"/>
  <c r="L75" i="11"/>
  <c r="BR255" i="13"/>
  <c r="K75" i="11"/>
  <c r="BG252" i="13"/>
  <c r="L79" i="11"/>
  <c r="W161" i="21"/>
  <c r="W59" i="21"/>
  <c r="W60" i="21"/>
  <c r="W62" i="21"/>
  <c r="W63" i="21"/>
  <c r="P59" i="21"/>
  <c r="P60" i="21"/>
  <c r="P62" i="21"/>
  <c r="P63" i="21"/>
  <c r="I19" i="3"/>
  <c r="W52" i="21"/>
  <c r="W53" i="21"/>
  <c r="W208" i="21"/>
  <c r="W209" i="21"/>
  <c r="P52" i="21"/>
  <c r="P53" i="21"/>
  <c r="P161" i="21"/>
  <c r="C63" i="5"/>
  <c r="D63" i="21" s="1"/>
  <c r="D61" i="21"/>
  <c r="C93" i="5"/>
  <c r="D93" i="21" s="1"/>
  <c r="D91" i="21"/>
  <c r="C193" i="5"/>
  <c r="D193" i="21" s="1"/>
  <c r="D191" i="21"/>
  <c r="U202" i="13"/>
  <c r="AA202" i="13" s="1"/>
  <c r="AA89" i="13"/>
  <c r="AB89" i="13" s="1"/>
  <c r="U86" i="13"/>
  <c r="AA86" i="13" s="1"/>
  <c r="AA48" i="13"/>
  <c r="AB48" i="13" s="1"/>
  <c r="F49" i="5" s="1"/>
  <c r="AC49" i="5" s="1"/>
  <c r="U46" i="13"/>
  <c r="AA46" i="13" s="1"/>
  <c r="AA66" i="13" s="1"/>
  <c r="AA165" i="13"/>
  <c r="AB165" i="13" s="1"/>
  <c r="U164" i="13"/>
  <c r="AA164" i="13" s="1"/>
  <c r="AA166" i="13" s="1"/>
  <c r="AA145" i="13"/>
  <c r="AB145" i="13" s="1"/>
  <c r="U144" i="13"/>
  <c r="AA144" i="13" s="1"/>
  <c r="AA152" i="13" s="1"/>
  <c r="U90" i="13"/>
  <c r="AA90" i="13" s="1"/>
  <c r="P115" i="21"/>
  <c r="P116" i="21"/>
  <c r="W183" i="21"/>
  <c r="W115" i="21"/>
  <c r="W116" i="21"/>
  <c r="P205" i="21"/>
  <c r="P208" i="21"/>
  <c r="P183" i="21"/>
  <c r="I183" i="21"/>
  <c r="W205" i="21"/>
  <c r="P92" i="21"/>
  <c r="P93" i="21"/>
  <c r="P127" i="21"/>
  <c r="I131" i="21"/>
  <c r="I92" i="21"/>
  <c r="I93" i="21"/>
  <c r="P131" i="21"/>
  <c r="W202" i="21"/>
  <c r="I112" i="21"/>
  <c r="I202" i="21"/>
  <c r="W110" i="21"/>
  <c r="W112" i="21"/>
  <c r="I85" i="21"/>
  <c r="I86" i="21"/>
  <c r="P202" i="21"/>
  <c r="P110" i="21"/>
  <c r="P112" i="21"/>
  <c r="W85" i="21"/>
  <c r="W86" i="21"/>
  <c r="W165" i="21"/>
  <c r="P165" i="21"/>
  <c r="W197" i="21"/>
  <c r="P97" i="21"/>
  <c r="P98" i="21"/>
  <c r="P85" i="21"/>
  <c r="P86" i="21"/>
  <c r="P172" i="21"/>
  <c r="P176" i="21"/>
  <c r="P197" i="21"/>
  <c r="W82" i="21"/>
  <c r="W83" i="21"/>
  <c r="P79" i="21"/>
  <c r="P80" i="21"/>
  <c r="P82" i="21"/>
  <c r="P83" i="21"/>
  <c r="W127" i="21"/>
  <c r="I79" i="21"/>
  <c r="I80" i="21"/>
  <c r="I180" i="21"/>
  <c r="I82" i="21"/>
  <c r="I83" i="21"/>
  <c r="W131" i="21"/>
  <c r="W180" i="21"/>
  <c r="I172" i="21"/>
  <c r="W92" i="21"/>
  <c r="W93" i="21"/>
  <c r="I127" i="21"/>
  <c r="P180" i="21"/>
  <c r="W172" i="21"/>
  <c r="W176" i="21"/>
  <c r="I25" i="3"/>
  <c r="BR252" i="13"/>
  <c r="BD252" i="13"/>
  <c r="AQ49" i="13"/>
  <c r="BC49" i="13" s="1"/>
  <c r="AA114" i="13"/>
  <c r="AB114" i="13" s="1"/>
  <c r="AB254" i="13" s="1"/>
  <c r="AP114" i="13"/>
  <c r="AQ114" i="13"/>
  <c r="BI251" i="13"/>
  <c r="BS251" i="13"/>
  <c r="BL251" i="13"/>
  <c r="BT251" i="13"/>
  <c r="BF251" i="13"/>
  <c r="BG238" i="13"/>
  <c r="BH238" i="13" s="1"/>
  <c r="P121" i="5" s="1"/>
  <c r="BS238" i="13"/>
  <c r="BJ238" i="13"/>
  <c r="BK238" i="13" s="1"/>
  <c r="W121" i="5" s="1"/>
  <c r="BT238" i="13"/>
  <c r="BD238" i="13"/>
  <c r="BE238" i="13" s="1"/>
  <c r="I121" i="5" s="1"/>
  <c r="BR238" i="13"/>
  <c r="AA94" i="13"/>
  <c r="AB94" i="13" s="1"/>
  <c r="AB93" i="13" s="1"/>
  <c r="I22" i="3"/>
  <c r="I21" i="3"/>
  <c r="AA84" i="13"/>
  <c r="AB84" i="13" s="1"/>
  <c r="AB83" i="13" s="1"/>
  <c r="AC190" i="5"/>
  <c r="AC134" i="5"/>
  <c r="AC155" i="5"/>
  <c r="AC187" i="5"/>
  <c r="AB40" i="21"/>
  <c r="W21" i="21"/>
  <c r="AC199" i="5"/>
  <c r="AF196" i="21"/>
  <c r="AC40" i="5"/>
  <c r="AC167" i="5"/>
  <c r="AF164" i="21"/>
  <c r="AC145" i="5"/>
  <c r="AC101" i="5"/>
  <c r="AC121" i="5"/>
  <c r="AB160" i="21"/>
  <c r="W79" i="21"/>
  <c r="S66" i="21"/>
  <c r="AB11" i="21"/>
  <c r="AB194" i="21"/>
  <c r="AB108" i="21"/>
  <c r="AB220" i="21"/>
  <c r="AB179" i="21"/>
  <c r="AB101" i="21"/>
  <c r="Y66" i="21"/>
  <c r="R66" i="21"/>
  <c r="AC258" i="5"/>
  <c r="U77" i="13"/>
  <c r="AK105" i="13"/>
  <c r="AK224" i="13"/>
  <c r="AI224" i="13"/>
  <c r="AK228" i="13"/>
  <c r="AI237" i="13"/>
  <c r="AI58" i="13" s="1"/>
  <c r="AK237" i="13"/>
  <c r="AK58" i="13" s="1"/>
  <c r="AJ237" i="13"/>
  <c r="AJ58" i="13" s="1"/>
  <c r="AI127" i="13"/>
  <c r="AK127" i="13"/>
  <c r="AJ127" i="13"/>
  <c r="AI137" i="13"/>
  <c r="AK137" i="13"/>
  <c r="AJ137" i="13"/>
  <c r="AK157" i="13"/>
  <c r="AJ157" i="13"/>
  <c r="AI157" i="13"/>
  <c r="AK73" i="13"/>
  <c r="M63" i="11" s="1"/>
  <c r="AJ73" i="13"/>
  <c r="L63" i="11" s="1"/>
  <c r="AI73" i="13"/>
  <c r="K63" i="11" s="1"/>
  <c r="AJ190" i="13"/>
  <c r="AI190" i="13"/>
  <c r="AK190" i="13"/>
  <c r="AI85" i="13"/>
  <c r="AJ85" i="13"/>
  <c r="AK85" i="13"/>
  <c r="AJ53" i="13"/>
  <c r="AI53" i="13"/>
  <c r="AK53" i="13"/>
  <c r="AJ226" i="13"/>
  <c r="AJ228" i="13"/>
  <c r="AI105" i="13"/>
  <c r="AK139" i="13"/>
  <c r="AJ139" i="13"/>
  <c r="AI139" i="13"/>
  <c r="AI101" i="13"/>
  <c r="BR101" i="13" s="1"/>
  <c r="AK101" i="13"/>
  <c r="BT101" i="13" s="1"/>
  <c r="AJ101" i="13"/>
  <c r="BS101" i="13" s="1"/>
  <c r="AI14" i="13"/>
  <c r="AJ14" i="13"/>
  <c r="AK14" i="13"/>
  <c r="AK151" i="13"/>
  <c r="AI151" i="13"/>
  <c r="AJ151" i="13"/>
  <c r="AK136" i="13"/>
  <c r="AI136" i="13"/>
  <c r="AJ136" i="13"/>
  <c r="AJ74" i="13"/>
  <c r="AI74" i="13"/>
  <c r="AK74" i="13"/>
  <c r="AK52" i="13"/>
  <c r="AK70" i="13" s="1"/>
  <c r="AJ52" i="13"/>
  <c r="AJ70" i="13" s="1"/>
  <c r="AI52" i="13"/>
  <c r="AI220" i="13"/>
  <c r="AK223" i="13"/>
  <c r="AK218" i="13"/>
  <c r="AI240" i="13"/>
  <c r="BD240" i="13" s="1"/>
  <c r="AK240" i="13"/>
  <c r="BJ240" i="13" s="1"/>
  <c r="AJ240" i="13"/>
  <c r="BG240" i="13" s="1"/>
  <c r="AK18" i="13"/>
  <c r="AI18" i="13"/>
  <c r="AJ18" i="13"/>
  <c r="AJ135" i="13"/>
  <c r="AI135" i="13"/>
  <c r="AK135" i="13"/>
  <c r="AK188" i="13"/>
  <c r="AI188" i="13"/>
  <c r="AJ188" i="13"/>
  <c r="AI242" i="13"/>
  <c r="AK242" i="13"/>
  <c r="AJ242" i="13"/>
  <c r="AI193" i="13"/>
  <c r="AK193" i="13"/>
  <c r="AJ193" i="13"/>
  <c r="AJ122" i="13"/>
  <c r="AJ121" i="13" s="1"/>
  <c r="AK122" i="13"/>
  <c r="AK121" i="13" s="1"/>
  <c r="AI122" i="13"/>
  <c r="AI121" i="13" s="1"/>
  <c r="AK161" i="13"/>
  <c r="AK160" i="13" s="1"/>
  <c r="AI161" i="13"/>
  <c r="AI160" i="13" s="1"/>
  <c r="AJ161" i="13"/>
  <c r="AJ160" i="13" s="1"/>
  <c r="AK78" i="13"/>
  <c r="AJ78" i="13"/>
  <c r="AI78" i="13"/>
  <c r="AJ220" i="13"/>
  <c r="AK226" i="13"/>
  <c r="AK54" i="13"/>
  <c r="AI54" i="13"/>
  <c r="AJ54" i="13"/>
  <c r="AJ244" i="13"/>
  <c r="AI244" i="13"/>
  <c r="AK244" i="13"/>
  <c r="AJ129" i="13"/>
  <c r="BS129" i="13" s="1"/>
  <c r="AI129" i="13"/>
  <c r="BR129" i="13" s="1"/>
  <c r="AK129" i="13"/>
  <c r="BT129" i="13" s="1"/>
  <c r="AI12" i="13"/>
  <c r="K54" i="11" s="1"/>
  <c r="AK12" i="13"/>
  <c r="M54" i="11" s="1"/>
  <c r="AJ12" i="13"/>
  <c r="L54" i="11" s="1"/>
  <c r="AK17" i="13"/>
  <c r="AI17" i="13"/>
  <c r="AJ17" i="13"/>
  <c r="AK133" i="13"/>
  <c r="AJ133" i="13"/>
  <c r="AI133" i="13"/>
  <c r="AI72" i="13"/>
  <c r="AK72" i="13"/>
  <c r="AJ72" i="13"/>
  <c r="AK61" i="13"/>
  <c r="AI61" i="13"/>
  <c r="AJ61" i="13"/>
  <c r="AI223" i="13"/>
  <c r="AI191" i="13"/>
  <c r="AK194" i="13"/>
  <c r="AK196" i="13"/>
  <c r="AK195" i="13"/>
  <c r="AI245" i="13"/>
  <c r="AK245" i="13"/>
  <c r="AJ245" i="13"/>
  <c r="AK27" i="13"/>
  <c r="BJ27" i="13" s="1"/>
  <c r="AJ27" i="13"/>
  <c r="BG27" i="13" s="1"/>
  <c r="AI27" i="13"/>
  <c r="BD27" i="13" s="1"/>
  <c r="AI180" i="13"/>
  <c r="AK180" i="13"/>
  <c r="AJ180" i="13"/>
  <c r="AI11" i="13"/>
  <c r="AK11" i="13"/>
  <c r="AJ11" i="13"/>
  <c r="AJ57" i="13"/>
  <c r="AK57" i="13"/>
  <c r="AI57" i="13"/>
  <c r="AJ71" i="13"/>
  <c r="AK71" i="13"/>
  <c r="AI102" i="13"/>
  <c r="BR102" i="13" s="1"/>
  <c r="AJ102" i="13"/>
  <c r="BS102" i="13" s="1"/>
  <c r="AK102" i="13"/>
  <c r="BT102" i="13" s="1"/>
  <c r="AJ163" i="13"/>
  <c r="AI163" i="13"/>
  <c r="AK163" i="13"/>
  <c r="AK32" i="13"/>
  <c r="AJ32" i="13"/>
  <c r="AI32" i="13"/>
  <c r="AI119" i="13"/>
  <c r="AK119" i="13"/>
  <c r="AJ119" i="13"/>
  <c r="AJ76" i="13"/>
  <c r="AI76" i="13"/>
  <c r="AK76" i="13"/>
  <c r="AI230" i="13"/>
  <c r="AI218" i="13"/>
  <c r="AJ191" i="13"/>
  <c r="AI195" i="13"/>
  <c r="AI196" i="13"/>
  <c r="AI194" i="13"/>
  <c r="AI241" i="13"/>
  <c r="AI142" i="13" s="1"/>
  <c r="AK241" i="13"/>
  <c r="AK142" i="13" s="1"/>
  <c r="AJ241" i="13"/>
  <c r="AJ142" i="13" s="1"/>
  <c r="AI132" i="13"/>
  <c r="AK132" i="13"/>
  <c r="AJ132" i="13"/>
  <c r="AK147" i="13"/>
  <c r="BT147" i="13" s="1"/>
  <c r="AJ147" i="13"/>
  <c r="BS147" i="13" s="1"/>
  <c r="AI147" i="13"/>
  <c r="BR147" i="13" s="1"/>
  <c r="AJ20" i="13"/>
  <c r="AI20" i="13"/>
  <c r="AK20" i="13"/>
  <c r="AK22" i="13"/>
  <c r="M55" i="11" s="1"/>
  <c r="AJ22" i="13"/>
  <c r="L55" i="11" s="1"/>
  <c r="AI22" i="13"/>
  <c r="K55" i="11" s="1"/>
  <c r="AI128" i="13"/>
  <c r="BR128" i="13" s="1"/>
  <c r="AK128" i="13"/>
  <c r="BT128" i="13" s="1"/>
  <c r="AJ128" i="13"/>
  <c r="BS128" i="13" s="1"/>
  <c r="AI15" i="13"/>
  <c r="AK15" i="13"/>
  <c r="AJ15" i="13"/>
  <c r="AJ24" i="13"/>
  <c r="BS24" i="13" s="1"/>
  <c r="AK24" i="13"/>
  <c r="BT24" i="13" s="1"/>
  <c r="AI24" i="13"/>
  <c r="BR24" i="13" s="1"/>
  <c r="AK149" i="13"/>
  <c r="AJ149" i="13"/>
  <c r="AI149" i="13"/>
  <c r="AJ23" i="13"/>
  <c r="L56" i="11" s="1"/>
  <c r="AI23" i="13"/>
  <c r="K56" i="11" s="1"/>
  <c r="AK23" i="13"/>
  <c r="M56" i="11" s="1"/>
  <c r="AJ28" i="13"/>
  <c r="AI28" i="13"/>
  <c r="AK28" i="13"/>
  <c r="AJ230" i="13"/>
  <c r="AK191" i="13"/>
  <c r="AJ194" i="13"/>
  <c r="AJ196" i="13"/>
  <c r="AJ195" i="13"/>
  <c r="AJ60" i="13"/>
  <c r="AI60" i="13"/>
  <c r="AK60" i="13"/>
  <c r="AJ239" i="13"/>
  <c r="AI239" i="13"/>
  <c r="AK239" i="13"/>
  <c r="AK120" i="13"/>
  <c r="AJ120" i="13"/>
  <c r="AI120" i="13"/>
  <c r="AI25" i="13"/>
  <c r="BR25" i="13" s="1"/>
  <c r="AK25" i="13"/>
  <c r="BT25" i="13" s="1"/>
  <c r="AJ25" i="13"/>
  <c r="BS25" i="13" s="1"/>
  <c r="AJ131" i="13"/>
  <c r="AK131" i="13"/>
  <c r="AJ33" i="13"/>
  <c r="AI33" i="13"/>
  <c r="AK33" i="13"/>
  <c r="AI222" i="13"/>
  <c r="AK43" i="13"/>
  <c r="AK42" i="13"/>
  <c r="AK45" i="13"/>
  <c r="AK44" i="13"/>
  <c r="AI13" i="13"/>
  <c r="AK13" i="13"/>
  <c r="AJ13" i="13"/>
  <c r="AI172" i="13"/>
  <c r="AK172" i="13"/>
  <c r="AJ172" i="13"/>
  <c r="AI209" i="13"/>
  <c r="AK209" i="13"/>
  <c r="AJ209" i="13"/>
  <c r="AJ116" i="13"/>
  <c r="AJ115" i="13" s="1"/>
  <c r="AI116" i="13"/>
  <c r="AI115" i="13" s="1"/>
  <c r="AK116" i="13"/>
  <c r="AK115" i="13" s="1"/>
  <c r="AK31" i="13"/>
  <c r="AJ31" i="13"/>
  <c r="AI31" i="13"/>
  <c r="AJ222" i="13"/>
  <c r="AI43" i="13"/>
  <c r="AI44" i="13"/>
  <c r="AI42" i="13"/>
  <c r="AI45" i="13"/>
  <c r="AK29" i="13"/>
  <c r="AI29" i="13"/>
  <c r="AJ29" i="13"/>
  <c r="AJ158" i="13"/>
  <c r="BG158" i="13" s="1"/>
  <c r="AK158" i="13"/>
  <c r="BJ158" i="13" s="1"/>
  <c r="AI21" i="13"/>
  <c r="AK21" i="13"/>
  <c r="AJ21" i="13"/>
  <c r="AJ150" i="13"/>
  <c r="AI150" i="13"/>
  <c r="AK150" i="13"/>
  <c r="AK156" i="13"/>
  <c r="BT156" i="13" s="1"/>
  <c r="AJ156" i="13"/>
  <c r="BS156" i="13" s="1"/>
  <c r="AI156" i="13"/>
  <c r="BR156" i="13" s="1"/>
  <c r="AK146" i="13"/>
  <c r="BT146" i="13" s="1"/>
  <c r="AI146" i="13"/>
  <c r="BR146" i="13" s="1"/>
  <c r="AJ146" i="13"/>
  <c r="BS146" i="13" s="1"/>
  <c r="AJ64" i="13"/>
  <c r="AI64" i="13"/>
  <c r="AK64" i="13"/>
  <c r="AJ43" i="13"/>
  <c r="AJ42" i="13"/>
  <c r="AJ45" i="13"/>
  <c r="AJ44" i="13"/>
  <c r="AI88" i="13"/>
  <c r="AK88" i="13"/>
  <c r="AJ88" i="13"/>
  <c r="AJ87" i="13"/>
  <c r="AI87" i="13"/>
  <c r="AK87" i="13"/>
  <c r="AI118" i="13"/>
  <c r="AK118" i="13"/>
  <c r="AJ118" i="13"/>
  <c r="AK47" i="13"/>
  <c r="AJ47" i="13"/>
  <c r="AI47" i="13"/>
  <c r="AJ184" i="13"/>
  <c r="AI184" i="13"/>
  <c r="AK184" i="13"/>
  <c r="AJ105" i="13"/>
  <c r="AA205" i="13"/>
  <c r="AB205" i="13" s="1"/>
  <c r="AA213" i="13"/>
  <c r="AE40" i="13"/>
  <c r="F157" i="5"/>
  <c r="BB163" i="13"/>
  <c r="F171" i="5"/>
  <c r="F110" i="5"/>
  <c r="AA203" i="13"/>
  <c r="F152" i="21"/>
  <c r="AF152" i="21" s="1"/>
  <c r="F112" i="5"/>
  <c r="AA91" i="13"/>
  <c r="AB91" i="13" s="1"/>
  <c r="AA92" i="13"/>
  <c r="AB92" i="13" s="1"/>
  <c r="F91" i="5" s="1"/>
  <c r="F191" i="5"/>
  <c r="F191" i="21" s="1"/>
  <c r="F50" i="5"/>
  <c r="F58" i="5"/>
  <c r="CG95" i="13"/>
  <c r="AA80" i="13"/>
  <c r="AB80" i="13" s="1"/>
  <c r="F61" i="5"/>
  <c r="F43" i="5"/>
  <c r="F136" i="5"/>
  <c r="AF40" i="13"/>
  <c r="F146" i="5"/>
  <c r="F146" i="21" s="1"/>
  <c r="AF146" i="21" s="1"/>
  <c r="F68" i="5"/>
  <c r="F179" i="5"/>
  <c r="F57" i="5"/>
  <c r="F169" i="5"/>
  <c r="F137" i="5"/>
  <c r="F141" i="5"/>
  <c r="AQ32" i="13"/>
  <c r="BC32" i="13" s="1"/>
  <c r="AP32" i="13"/>
  <c r="BB32" i="13" s="1"/>
  <c r="F69" i="5"/>
  <c r="F116" i="5"/>
  <c r="F142" i="5"/>
  <c r="F185" i="5"/>
  <c r="F35" i="5"/>
  <c r="BC181" i="13"/>
  <c r="AB63" i="13"/>
  <c r="BC157" i="13"/>
  <c r="F153" i="5"/>
  <c r="F87" i="5"/>
  <c r="F144" i="5"/>
  <c r="F145" i="21" s="1"/>
  <c r="AB189" i="13"/>
  <c r="F188" i="5"/>
  <c r="F188" i="21" s="1"/>
  <c r="Y219" i="13"/>
  <c r="F51" i="5"/>
  <c r="AG40" i="13"/>
  <c r="AB103" i="13"/>
  <c r="AB162" i="13"/>
  <c r="F98" i="16"/>
  <c r="I98" i="16" s="1"/>
  <c r="F215" i="5"/>
  <c r="F192" i="5"/>
  <c r="AB56" i="13"/>
  <c r="Y201" i="13"/>
  <c r="AA201" i="13" s="1"/>
  <c r="F30" i="5"/>
  <c r="F31" i="5"/>
  <c r="F12" i="5"/>
  <c r="AC12" i="5" s="1"/>
  <c r="F20" i="5"/>
  <c r="AB69" i="13"/>
  <c r="BC151" i="13"/>
  <c r="BB151" i="13"/>
  <c r="AB187" i="13"/>
  <c r="BC188" i="13"/>
  <c r="BB188" i="13"/>
  <c r="AB160" i="13"/>
  <c r="BC161" i="13"/>
  <c r="BB161" i="13"/>
  <c r="AB115" i="13"/>
  <c r="AB121" i="13"/>
  <c r="BC150" i="13"/>
  <c r="BB150" i="13"/>
  <c r="BC142" i="13"/>
  <c r="BB142" i="13"/>
  <c r="BB156" i="13"/>
  <c r="BA156" i="13"/>
  <c r="BC156" i="13"/>
  <c r="AB148" i="13"/>
  <c r="F127" i="5"/>
  <c r="AB130" i="13"/>
  <c r="F124" i="5" s="1"/>
  <c r="BC163" i="13"/>
  <c r="AB59" i="13"/>
  <c r="BC102" i="13"/>
  <c r="AB225" i="13"/>
  <c r="BB102" i="13"/>
  <c r="D104" i="16"/>
  <c r="F104" i="16" s="1"/>
  <c r="AB227" i="13"/>
  <c r="D106" i="16"/>
  <c r="F106" i="16" s="1"/>
  <c r="AB192" i="13"/>
  <c r="D86" i="16"/>
  <c r="D94" i="16"/>
  <c r="AB100" i="13"/>
  <c r="D52" i="16"/>
  <c r="D96" i="16"/>
  <c r="AB179" i="13"/>
  <c r="BC173" i="13"/>
  <c r="BB173" i="13"/>
  <c r="BA173" i="13"/>
  <c r="BS252" i="13"/>
  <c r="BT252" i="13"/>
  <c r="BE10" i="13"/>
  <c r="P11" i="5" s="1"/>
  <c r="P11" i="21" s="1"/>
  <c r="AB117" i="13"/>
  <c r="BG234" i="13"/>
  <c r="BD234" i="13"/>
  <c r="BK234" i="13"/>
  <c r="W40" i="5" s="1"/>
  <c r="W40" i="21" s="1"/>
  <c r="F206" i="5"/>
  <c r="BK246" i="13"/>
  <c r="W101" i="5" s="1"/>
  <c r="BH246" i="13"/>
  <c r="P101" i="5" s="1"/>
  <c r="BE246" i="13"/>
  <c r="I101" i="5" s="1"/>
  <c r="BE248" i="13"/>
  <c r="I190" i="5" s="1"/>
  <c r="BE247" i="13"/>
  <c r="I187" i="5" s="1"/>
  <c r="BH248" i="13"/>
  <c r="P190" i="5" s="1"/>
  <c r="BH247" i="13"/>
  <c r="P187" i="5" s="1"/>
  <c r="BK248" i="13"/>
  <c r="W190" i="5" s="1"/>
  <c r="BK247" i="13"/>
  <c r="W187" i="5" s="1"/>
  <c r="AB138" i="13"/>
  <c r="AB134" i="13"/>
  <c r="AB183" i="13"/>
  <c r="AB30" i="13"/>
  <c r="AB175" i="13"/>
  <c r="AB171" i="13"/>
  <c r="AB155" i="13"/>
  <c r="AB126" i="13"/>
  <c r="AB51" i="13"/>
  <c r="AB10" i="13"/>
  <c r="AB26" i="13"/>
  <c r="AB19" i="13"/>
  <c r="AB16" i="13"/>
  <c r="AB206" i="13"/>
  <c r="AB170" i="13"/>
  <c r="AB212" i="13"/>
  <c r="BE249" i="13"/>
  <c r="I199" i="5" s="1"/>
  <c r="BK249" i="13"/>
  <c r="W199" i="5" s="1"/>
  <c r="BH249" i="13"/>
  <c r="P199" i="5" s="1"/>
  <c r="AB41" i="13"/>
  <c r="AK41" i="13" s="1"/>
  <c r="F26" i="5"/>
  <c r="BC158" i="13"/>
  <c r="BB158" i="13"/>
  <c r="BA128" i="13"/>
  <c r="BC128" i="13"/>
  <c r="BB128" i="13"/>
  <c r="BG15" i="13"/>
  <c r="BJ15" i="13"/>
  <c r="F17" i="5"/>
  <c r="BD15" i="13"/>
  <c r="F25" i="5"/>
  <c r="AA123" i="13"/>
  <c r="F22" i="5"/>
  <c r="F23" i="5"/>
  <c r="F24" i="5"/>
  <c r="F15" i="5"/>
  <c r="F29" i="5"/>
  <c r="F183" i="5"/>
  <c r="F114" i="5"/>
  <c r="F78" i="5"/>
  <c r="F98" i="5"/>
  <c r="F55" i="5"/>
  <c r="F45" i="5"/>
  <c r="D43" i="16"/>
  <c r="F154" i="5"/>
  <c r="F54" i="5"/>
  <c r="AA36" i="13"/>
  <c r="F60" i="5"/>
  <c r="F174" i="5"/>
  <c r="F174" i="21" s="1"/>
  <c r="AF174" i="21" s="1"/>
  <c r="F135" i="5"/>
  <c r="F135" i="21" s="1"/>
  <c r="F182" i="5"/>
  <c r="F170" i="5"/>
  <c r="D68" i="16"/>
  <c r="F175" i="5"/>
  <c r="F44" i="5"/>
  <c r="F46" i="5"/>
  <c r="F123" i="5"/>
  <c r="F131" i="5"/>
  <c r="D75" i="16"/>
  <c r="F193" i="5"/>
  <c r="F113" i="5"/>
  <c r="F227" i="5"/>
  <c r="F122" i="5"/>
  <c r="BE200" i="13"/>
  <c r="I197" i="5" s="1"/>
  <c r="I198" i="21" s="1"/>
  <c r="BE211" i="13"/>
  <c r="I208" i="5" s="1"/>
  <c r="I209" i="21" s="1"/>
  <c r="BE192" i="13"/>
  <c r="I189" i="5" s="1"/>
  <c r="I189" i="21" s="1"/>
  <c r="BE171" i="13"/>
  <c r="I168" i="5" s="1"/>
  <c r="BE169" i="13"/>
  <c r="I165" i="5" s="1"/>
  <c r="BE164" i="13"/>
  <c r="I160" i="5" s="1"/>
  <c r="I143" i="5"/>
  <c r="BE130" i="13"/>
  <c r="I124" i="5" s="1"/>
  <c r="BE115" i="13"/>
  <c r="I109" i="5" s="1"/>
  <c r="BE121" i="13"/>
  <c r="I115" i="5" s="1"/>
  <c r="I114" i="21" s="1"/>
  <c r="BE100" i="13"/>
  <c r="I97" i="5" s="1"/>
  <c r="F257" i="5"/>
  <c r="AC257" i="5" s="1"/>
  <c r="F248" i="5"/>
  <c r="F129" i="5"/>
  <c r="F249" i="5"/>
  <c r="AC249" i="5" s="1"/>
  <c r="F133" i="5"/>
  <c r="F250" i="5"/>
  <c r="F256" i="5"/>
  <c r="F177" i="5"/>
  <c r="F259" i="5"/>
  <c r="AC259" i="5" s="1"/>
  <c r="F181" i="5"/>
  <c r="F253" i="5"/>
  <c r="F125" i="5"/>
  <c r="F254" i="5"/>
  <c r="BD220" i="13"/>
  <c r="BJ226" i="13"/>
  <c r="BK226" i="13" s="1"/>
  <c r="W223" i="5" s="1"/>
  <c r="BG228" i="13"/>
  <c r="BH228" i="13" s="1"/>
  <c r="P225" i="5" s="1"/>
  <c r="BD223" i="13"/>
  <c r="AA110" i="13"/>
  <c r="I59" i="5"/>
  <c r="I52" i="5"/>
  <c r="I53" i="21" s="1"/>
  <c r="BD69" i="13"/>
  <c r="AB229" i="13"/>
  <c r="AB34" i="13"/>
  <c r="D102" i="16"/>
  <c r="F102" i="16" s="1"/>
  <c r="I102" i="16" s="1"/>
  <c r="AB217" i="13"/>
  <c r="F225" i="5"/>
  <c r="F223" i="5"/>
  <c r="BZ90" i="13"/>
  <c r="CC51" i="13"/>
  <c r="BZ83" i="13"/>
  <c r="CG83" i="13" s="1"/>
  <c r="CC121" i="13"/>
  <c r="BZ121" i="13"/>
  <c r="CC169" i="13"/>
  <c r="CC179" i="13"/>
  <c r="BZ179" i="13"/>
  <c r="BZ169" i="13"/>
  <c r="CC69" i="13"/>
  <c r="BZ69" i="13"/>
  <c r="CC79" i="13"/>
  <c r="CC55" i="13"/>
  <c r="CA134" i="13"/>
  <c r="CC108" i="13"/>
  <c r="BZ108" i="13"/>
  <c r="CA90" i="13"/>
  <c r="CC39" i="13"/>
  <c r="CA30" i="13"/>
  <c r="CA159" i="13"/>
  <c r="CA106" i="13"/>
  <c r="CA107" i="13"/>
  <c r="CA62" i="13"/>
  <c r="CC62" i="13"/>
  <c r="BZ171" i="13"/>
  <c r="F97" i="16"/>
  <c r="I97" i="16" s="1"/>
  <c r="CC107" i="13"/>
  <c r="CA171" i="13"/>
  <c r="CA109" i="13"/>
  <c r="CA56" i="13"/>
  <c r="BZ19" i="13"/>
  <c r="CA65" i="13"/>
  <c r="BZ100" i="13"/>
  <c r="CA16" i="13"/>
  <c r="BZ200" i="13"/>
  <c r="CG200" i="13" s="1"/>
  <c r="CC56" i="13"/>
  <c r="CC204" i="13"/>
  <c r="CC109" i="13"/>
  <c r="CA113" i="13"/>
  <c r="CC160" i="13"/>
  <c r="CC26" i="13"/>
  <c r="CC138" i="13"/>
  <c r="CC59" i="13"/>
  <c r="CA126" i="13"/>
  <c r="BZ160" i="13"/>
  <c r="BZ26" i="13"/>
  <c r="CA155" i="13"/>
  <c r="CA59" i="13"/>
  <c r="CC183" i="13"/>
  <c r="CA183" i="13"/>
  <c r="CC82" i="13"/>
  <c r="CA82" i="13"/>
  <c r="BZ208" i="13"/>
  <c r="CG208" i="13" s="1"/>
  <c r="BZ65" i="13"/>
  <c r="CC19" i="13"/>
  <c r="CC100" i="13"/>
  <c r="BZ115" i="13"/>
  <c r="CG115" i="13" s="1"/>
  <c r="CC16" i="13"/>
  <c r="CC95" i="13"/>
  <c r="CC10" i="13"/>
  <c r="CA10" i="13"/>
  <c r="CC75" i="13"/>
  <c r="CC86" i="13"/>
  <c r="BZ93" i="13"/>
  <c r="CG93" i="13" s="1"/>
  <c r="CA86" i="13"/>
  <c r="CA96" i="13"/>
  <c r="CA207" i="13"/>
  <c r="BZ164" i="13"/>
  <c r="BZ63" i="13"/>
  <c r="CC207" i="13"/>
  <c r="CC96" i="13"/>
  <c r="CC211" i="13"/>
  <c r="CA164" i="13"/>
  <c r="CC63" i="13"/>
  <c r="CC117" i="13"/>
  <c r="F45" i="16"/>
  <c r="I45" i="16" s="1"/>
  <c r="BG65" i="13"/>
  <c r="BH65" i="13" s="1"/>
  <c r="BJ65" i="13"/>
  <c r="BK65" i="13" s="1"/>
  <c r="F25" i="16"/>
  <c r="I25" i="16" s="1"/>
  <c r="BZ98" i="13"/>
  <c r="CC98" i="13"/>
  <c r="CA97" i="13"/>
  <c r="CC97" i="13"/>
  <c r="F100" i="16"/>
  <c r="I100" i="16" s="1"/>
  <c r="F220" i="5"/>
  <c r="F217" i="5"/>
  <c r="BZ198" i="13"/>
  <c r="CC198" i="13"/>
  <c r="CG79" i="13"/>
  <c r="CA144" i="13"/>
  <c r="CC144" i="13"/>
  <c r="F32" i="16"/>
  <c r="I32" i="16" s="1"/>
  <c r="BZ35" i="13"/>
  <c r="CC35" i="13"/>
  <c r="CA35" i="13"/>
  <c r="BZ167" i="13"/>
  <c r="CC167" i="13"/>
  <c r="CA167" i="13"/>
  <c r="BZ153" i="13"/>
  <c r="CC153" i="13"/>
  <c r="CA153" i="13"/>
  <c r="BZ124" i="13"/>
  <c r="CA124" i="13"/>
  <c r="CC124" i="13"/>
  <c r="BZ214" i="13"/>
  <c r="CA214" i="13"/>
  <c r="CC214" i="13"/>
  <c r="BZ217" i="13"/>
  <c r="CC217" i="13"/>
  <c r="CA217" i="13"/>
  <c r="BZ123" i="13"/>
  <c r="CA123" i="13"/>
  <c r="CC123" i="13"/>
  <c r="BZ221" i="13"/>
  <c r="CA221" i="13"/>
  <c r="CC221" i="13"/>
  <c r="BZ67" i="13"/>
  <c r="CC67" i="13"/>
  <c r="CA67" i="13"/>
  <c r="BZ152" i="13"/>
  <c r="CC152" i="13"/>
  <c r="CA152" i="13"/>
  <c r="BZ166" i="13"/>
  <c r="CA166" i="13"/>
  <c r="CC166" i="13"/>
  <c r="BZ222" i="13"/>
  <c r="CA222" i="13"/>
  <c r="CC222" i="13"/>
  <c r="BZ110" i="13"/>
  <c r="CA110" i="13"/>
  <c r="CC110" i="13"/>
  <c r="CA232" i="13"/>
  <c r="BZ232" i="13"/>
  <c r="CC232" i="13"/>
  <c r="BZ224" i="13"/>
  <c r="CA224" i="13"/>
  <c r="CC224" i="13"/>
  <c r="BZ218" i="13"/>
  <c r="CA218" i="13"/>
  <c r="CC218" i="13"/>
  <c r="BZ231" i="13"/>
  <c r="CA231" i="13"/>
  <c r="CC231" i="13"/>
  <c r="BZ225" i="13"/>
  <c r="CC225" i="13"/>
  <c r="CA225" i="13"/>
  <c r="CA219" i="13"/>
  <c r="BZ219" i="13"/>
  <c r="CC219" i="13"/>
  <c r="BZ34" i="13"/>
  <c r="CC34" i="13"/>
  <c r="CA34" i="13"/>
  <c r="BZ215" i="13"/>
  <c r="CA215" i="13"/>
  <c r="CC215" i="13"/>
  <c r="BZ197" i="13"/>
  <c r="CA197" i="13"/>
  <c r="CC197" i="13"/>
  <c r="BZ220" i="13"/>
  <c r="CA220" i="13"/>
  <c r="CC220" i="13"/>
  <c r="BZ111" i="13"/>
  <c r="CC111" i="13"/>
  <c r="CA111" i="13"/>
  <c r="CC66" i="13"/>
  <c r="BZ66" i="13"/>
  <c r="CA66" i="13"/>
  <c r="BZ37" i="13"/>
  <c r="CA37" i="13"/>
  <c r="CC37" i="13"/>
  <c r="BZ36" i="13"/>
  <c r="CC36" i="13"/>
  <c r="CA36" i="13"/>
  <c r="CA223" i="13"/>
  <c r="CC223" i="13"/>
  <c r="BZ223" i="13"/>
  <c r="F218" i="5"/>
  <c r="F95" i="16"/>
  <c r="I95" i="16" s="1"/>
  <c r="F20" i="16"/>
  <c r="I20" i="16" s="1"/>
  <c r="F47" i="16"/>
  <c r="I47" i="16" s="1"/>
  <c r="F221" i="5"/>
  <c r="F101" i="16"/>
  <c r="I101" i="16" s="1"/>
  <c r="F48" i="16"/>
  <c r="I48" i="16" s="1"/>
  <c r="F13" i="16"/>
  <c r="I13" i="16" s="1"/>
  <c r="F88" i="16"/>
  <c r="I88" i="16" s="1"/>
  <c r="BJ96" i="13"/>
  <c r="BK96" i="13" s="1"/>
  <c r="BG96" i="13"/>
  <c r="BH96" i="13" s="1"/>
  <c r="F39" i="16"/>
  <c r="I39" i="16" s="1"/>
  <c r="F38" i="16"/>
  <c r="I38" i="16" s="1"/>
  <c r="F99" i="16"/>
  <c r="I99" i="16" s="1"/>
  <c r="F219" i="5"/>
  <c r="F23" i="16"/>
  <c r="I23" i="16" s="1"/>
  <c r="F46" i="16"/>
  <c r="I46" i="16" s="1"/>
  <c r="BD155" i="13"/>
  <c r="BE155" i="13" s="1"/>
  <c r="F69" i="16"/>
  <c r="I69" i="16" s="1"/>
  <c r="W41" i="21" l="1"/>
  <c r="AB46" i="13"/>
  <c r="AI70" i="13"/>
  <c r="BB145" i="13"/>
  <c r="J70" i="11"/>
  <c r="F108" i="5"/>
  <c r="AC108" i="5" s="1"/>
  <c r="J66" i="11"/>
  <c r="AJ114" i="13"/>
  <c r="AK114" i="13"/>
  <c r="BT114" i="13" s="1"/>
  <c r="AI114" i="13"/>
  <c r="BR114" i="13" s="1"/>
  <c r="AB113" i="13"/>
  <c r="AB123" i="13" s="1"/>
  <c r="BS242" i="13"/>
  <c r="BT242" i="13"/>
  <c r="BR242" i="13"/>
  <c r="BT150" i="13"/>
  <c r="M71" i="11"/>
  <c r="BR150" i="13"/>
  <c r="K71" i="11"/>
  <c r="BS150" i="13"/>
  <c r="L71" i="11"/>
  <c r="BT239" i="13"/>
  <c r="M69" i="11"/>
  <c r="AJ187" i="13"/>
  <c r="BG187" i="13" s="1"/>
  <c r="BH187" i="13" s="1"/>
  <c r="P184" i="5" s="1"/>
  <c r="P184" i="21" s="1"/>
  <c r="L81" i="11"/>
  <c r="BS151" i="13"/>
  <c r="L72" i="11"/>
  <c r="BR239" i="13"/>
  <c r="K69" i="11"/>
  <c r="AI187" i="13"/>
  <c r="BD187" i="13" s="1"/>
  <c r="BE187" i="13" s="1"/>
  <c r="I184" i="5" s="1"/>
  <c r="K81" i="11"/>
  <c r="BR151" i="13"/>
  <c r="K72" i="11"/>
  <c r="BS239" i="13"/>
  <c r="L69" i="11"/>
  <c r="AK187" i="13"/>
  <c r="BJ187" i="13" s="1"/>
  <c r="BK187" i="13" s="1"/>
  <c r="W184" i="5" s="1"/>
  <c r="W184" i="21" s="1"/>
  <c r="M81" i="11"/>
  <c r="BT151" i="13"/>
  <c r="M72" i="11"/>
  <c r="F153" i="21"/>
  <c r="F192" i="21"/>
  <c r="AF192" i="21" s="1"/>
  <c r="F193" i="21"/>
  <c r="AF193" i="21" s="1"/>
  <c r="I59" i="21"/>
  <c r="I60" i="21"/>
  <c r="W190" i="21"/>
  <c r="W191" i="21"/>
  <c r="F154" i="21"/>
  <c r="AF154" i="21" s="1"/>
  <c r="P187" i="21"/>
  <c r="P188" i="21"/>
  <c r="W187" i="21"/>
  <c r="W188" i="21"/>
  <c r="P190" i="21"/>
  <c r="P191" i="21"/>
  <c r="I187" i="21"/>
  <c r="I188" i="21"/>
  <c r="I190" i="21"/>
  <c r="I191" i="21"/>
  <c r="I161" i="21"/>
  <c r="F155" i="21"/>
  <c r="I116" i="21"/>
  <c r="AK145" i="13"/>
  <c r="AI145" i="13"/>
  <c r="AJ145" i="13"/>
  <c r="F140" i="5"/>
  <c r="AC140" i="5" s="1"/>
  <c r="AB144" i="13"/>
  <c r="I26" i="3" s="1"/>
  <c r="AB250" i="13"/>
  <c r="F139" i="5" s="1"/>
  <c r="AC139" i="5" s="1"/>
  <c r="BC114" i="13"/>
  <c r="BC145" i="13"/>
  <c r="F93" i="5"/>
  <c r="AC93" i="5" s="1"/>
  <c r="AZ145" i="13"/>
  <c r="BA145" i="13"/>
  <c r="AA77" i="13"/>
  <c r="AB77" i="13" s="1"/>
  <c r="AI77" i="13" s="1"/>
  <c r="U75" i="13"/>
  <c r="AA75" i="13" s="1"/>
  <c r="BJ23" i="13"/>
  <c r="BK23" i="13" s="1"/>
  <c r="W25" i="5" s="1"/>
  <c r="BT23" i="13"/>
  <c r="BD23" i="13"/>
  <c r="BE23" i="13" s="1"/>
  <c r="BR23" i="13"/>
  <c r="BG23" i="13"/>
  <c r="BH23" i="13" s="1"/>
  <c r="P25" i="5" s="1"/>
  <c r="BS23" i="13"/>
  <c r="U219" i="13"/>
  <c r="AA219" i="13" s="1"/>
  <c r="AB219" i="13" s="1"/>
  <c r="AB236" i="13"/>
  <c r="I205" i="21"/>
  <c r="I208" i="21"/>
  <c r="I115" i="21"/>
  <c r="F107" i="5"/>
  <c r="AC107" i="5" s="1"/>
  <c r="AI254" i="13"/>
  <c r="K66" i="11" s="1"/>
  <c r="AJ254" i="13"/>
  <c r="BS254" i="13" s="1"/>
  <c r="AK254" i="13"/>
  <c r="BT254" i="13" s="1"/>
  <c r="BB114" i="13"/>
  <c r="I200" i="21"/>
  <c r="W200" i="21"/>
  <c r="P200" i="21"/>
  <c r="I165" i="21"/>
  <c r="I120" i="21"/>
  <c r="I199" i="21"/>
  <c r="I110" i="21"/>
  <c r="W199" i="21"/>
  <c r="W120" i="21"/>
  <c r="P199" i="21"/>
  <c r="I197" i="21"/>
  <c r="I101" i="21"/>
  <c r="I102" i="21"/>
  <c r="P101" i="21"/>
  <c r="P102" i="21"/>
  <c r="I97" i="21"/>
  <c r="I98" i="21"/>
  <c r="W101" i="21"/>
  <c r="W102" i="21"/>
  <c r="P120" i="21"/>
  <c r="AJ94" i="13"/>
  <c r="AJ93" i="13" s="1"/>
  <c r="AK94" i="13"/>
  <c r="AK93" i="13" s="1"/>
  <c r="F83" i="5"/>
  <c r="AC83" i="5" s="1"/>
  <c r="AI94" i="13"/>
  <c r="AI93" i="13" s="1"/>
  <c r="AK84" i="13"/>
  <c r="AK83" i="13" s="1"/>
  <c r="AI84" i="13"/>
  <c r="AI83" i="13" s="1"/>
  <c r="AJ84" i="13"/>
  <c r="AJ83" i="13" s="1"/>
  <c r="BG72" i="13"/>
  <c r="BH72" i="13" s="1"/>
  <c r="P70" i="5" s="1"/>
  <c r="P70" i="21" s="1"/>
  <c r="BS72" i="13"/>
  <c r="BJ72" i="13"/>
  <c r="BK72" i="13" s="1"/>
  <c r="W70" i="5" s="1"/>
  <c r="W70" i="21" s="1"/>
  <c r="BT72" i="13"/>
  <c r="BD72" i="13"/>
  <c r="BE72" i="13" s="1"/>
  <c r="I70" i="5" s="1"/>
  <c r="I70" i="21" s="1"/>
  <c r="BR72" i="13"/>
  <c r="F12" i="21"/>
  <c r="AF12" i="21" s="1"/>
  <c r="AC87" i="5"/>
  <c r="AC69" i="5"/>
  <c r="F69" i="21"/>
  <c r="AF69" i="21" s="1"/>
  <c r="AC169" i="5"/>
  <c r="AC58" i="5"/>
  <c r="F58" i="21"/>
  <c r="AF58" i="21" s="1"/>
  <c r="AC175" i="5"/>
  <c r="F171" i="21"/>
  <c r="AF171" i="21" s="1"/>
  <c r="AC55" i="5"/>
  <c r="F55" i="21"/>
  <c r="AF55" i="21" s="1"/>
  <c r="AC25" i="5"/>
  <c r="F25" i="21"/>
  <c r="AF25" i="21" s="1"/>
  <c r="AC192" i="5"/>
  <c r="AC153" i="5"/>
  <c r="AC57" i="5"/>
  <c r="AC50" i="5"/>
  <c r="F50" i="21"/>
  <c r="AF50" i="21" s="1"/>
  <c r="AC45" i="5"/>
  <c r="F45" i="21"/>
  <c r="AF45" i="21" s="1"/>
  <c r="AC122" i="5"/>
  <c r="AC170" i="5"/>
  <c r="AC98" i="5"/>
  <c r="AC215" i="5"/>
  <c r="AC179" i="5"/>
  <c r="AC191" i="5"/>
  <c r="AF188" i="21"/>
  <c r="AC125" i="5"/>
  <c r="AC78" i="5"/>
  <c r="AC17" i="5"/>
  <c r="AC68" i="5"/>
  <c r="AC91" i="5"/>
  <c r="AC133" i="5"/>
  <c r="AC129" i="5"/>
  <c r="AC227" i="5"/>
  <c r="AC182" i="5"/>
  <c r="AC114" i="5"/>
  <c r="F113" i="21"/>
  <c r="AF113" i="21" s="1"/>
  <c r="AC146" i="5"/>
  <c r="I52" i="21"/>
  <c r="AC181" i="5"/>
  <c r="AC113" i="5"/>
  <c r="AC135" i="5"/>
  <c r="F134" i="21"/>
  <c r="AF134" i="21" s="1"/>
  <c r="AC183" i="5"/>
  <c r="AC112" i="5"/>
  <c r="AC193" i="5"/>
  <c r="AC174" i="5"/>
  <c r="F170" i="21"/>
  <c r="AF170" i="21" s="1"/>
  <c r="AC29" i="5"/>
  <c r="AC127" i="5"/>
  <c r="AC136" i="5"/>
  <c r="AF135" i="21"/>
  <c r="AC152" i="5"/>
  <c r="AF149" i="21"/>
  <c r="AC217" i="5"/>
  <c r="AC221" i="5"/>
  <c r="F218" i="21"/>
  <c r="AF218" i="21" s="1"/>
  <c r="AC220" i="5"/>
  <c r="AC177" i="5"/>
  <c r="AC60" i="5"/>
  <c r="AC15" i="5"/>
  <c r="F15" i="21"/>
  <c r="AF15" i="21" s="1"/>
  <c r="AC20" i="5"/>
  <c r="AC51" i="5"/>
  <c r="F51" i="21"/>
  <c r="AF51" i="21" s="1"/>
  <c r="AC35" i="5"/>
  <c r="AC141" i="5"/>
  <c r="AC43" i="5"/>
  <c r="AC131" i="5"/>
  <c r="AC24" i="5"/>
  <c r="F24" i="21"/>
  <c r="AF24" i="21" s="1"/>
  <c r="AC206" i="5"/>
  <c r="AC137" i="5"/>
  <c r="F136" i="21"/>
  <c r="AF136" i="21" s="1"/>
  <c r="AC61" i="5"/>
  <c r="F61" i="21"/>
  <c r="AF61" i="21" s="1"/>
  <c r="AC110" i="5"/>
  <c r="AC223" i="5"/>
  <c r="F220" i="21"/>
  <c r="AF220" i="21" s="1"/>
  <c r="AC123" i="5"/>
  <c r="F122" i="21"/>
  <c r="AF122" i="21" s="1"/>
  <c r="AC54" i="5"/>
  <c r="AC23" i="5"/>
  <c r="F23" i="21"/>
  <c r="AF23" i="21" s="1"/>
  <c r="AC31" i="5"/>
  <c r="F31" i="21"/>
  <c r="AF31" i="21" s="1"/>
  <c r="AC188" i="5"/>
  <c r="AC185" i="5"/>
  <c r="F182" i="21"/>
  <c r="AF182" i="21" s="1"/>
  <c r="AC171" i="5"/>
  <c r="AC46" i="5"/>
  <c r="F46" i="21"/>
  <c r="AF46" i="21" s="1"/>
  <c r="AC154" i="5"/>
  <c r="AC22" i="5"/>
  <c r="AC30" i="5"/>
  <c r="F30" i="21"/>
  <c r="AF30" i="21" s="1"/>
  <c r="AC142" i="5"/>
  <c r="AC225" i="5"/>
  <c r="AC44" i="5"/>
  <c r="F44" i="21"/>
  <c r="AF44" i="21" s="1"/>
  <c r="AC13" i="5"/>
  <c r="F13" i="21"/>
  <c r="AF13" i="21" s="1"/>
  <c r="AC26" i="5"/>
  <c r="F26" i="21"/>
  <c r="AF26" i="21" s="1"/>
  <c r="AC144" i="5"/>
  <c r="F142" i="21"/>
  <c r="AF142" i="21" s="1"/>
  <c r="AC116" i="5"/>
  <c r="AC157" i="5"/>
  <c r="AB221" i="21"/>
  <c r="AI41" i="13"/>
  <c r="AJ205" i="13"/>
  <c r="AI205" i="13"/>
  <c r="AK205" i="13"/>
  <c r="AI89" i="13"/>
  <c r="AK89" i="13"/>
  <c r="AJ89" i="13"/>
  <c r="AJ140" i="13"/>
  <c r="AJ143" i="13"/>
  <c r="BG142" i="13"/>
  <c r="BH142" i="13" s="1"/>
  <c r="P136" i="5" s="1"/>
  <c r="P136" i="21" s="1"/>
  <c r="AJ141" i="13"/>
  <c r="AK140" i="13"/>
  <c r="AK143" i="13"/>
  <c r="BJ142" i="13"/>
  <c r="BK142" i="13" s="1"/>
  <c r="W136" i="5" s="1"/>
  <c r="W136" i="21" s="1"/>
  <c r="AK141" i="13"/>
  <c r="AK225" i="13"/>
  <c r="BT225" i="13" s="1"/>
  <c r="AJ225" i="13"/>
  <c r="BS225" i="13" s="1"/>
  <c r="AI225" i="13"/>
  <c r="BR225" i="13" s="1"/>
  <c r="AI141" i="13"/>
  <c r="AI140" i="13"/>
  <c r="AI143" i="13"/>
  <c r="BD142" i="13"/>
  <c r="BE142" i="13" s="1"/>
  <c r="I136" i="5" s="1"/>
  <c r="I136" i="21" s="1"/>
  <c r="AJ227" i="13"/>
  <c r="AK227" i="13"/>
  <c r="AI227" i="13"/>
  <c r="AK217" i="13"/>
  <c r="AI217" i="13"/>
  <c r="AJ217" i="13"/>
  <c r="AJ80" i="13"/>
  <c r="AI80" i="13"/>
  <c r="AK80" i="13"/>
  <c r="AJ186" i="13"/>
  <c r="AJ185" i="13"/>
  <c r="AI229" i="13"/>
  <c r="AJ229" i="13"/>
  <c r="AK229" i="13"/>
  <c r="AI212" i="13"/>
  <c r="AK212" i="13"/>
  <c r="AJ212" i="13"/>
  <c r="AK186" i="13"/>
  <c r="AK185" i="13"/>
  <c r="AI170" i="13"/>
  <c r="AK170" i="13"/>
  <c r="AJ170" i="13"/>
  <c r="AJ165" i="13"/>
  <c r="AJ164" i="13" s="1"/>
  <c r="AK165" i="13"/>
  <c r="AK164" i="13" s="1"/>
  <c r="AI165" i="13"/>
  <c r="AI164" i="13" s="1"/>
  <c r="AI186" i="13"/>
  <c r="AI185" i="13"/>
  <c r="AK182" i="13"/>
  <c r="AK181" i="13"/>
  <c r="AI182" i="13"/>
  <c r="AI181" i="13"/>
  <c r="AJ174" i="13"/>
  <c r="AJ173" i="13"/>
  <c r="L80" i="11" s="1"/>
  <c r="AJ206" i="13"/>
  <c r="AI206" i="13"/>
  <c r="AK206" i="13"/>
  <c r="AJ181" i="13"/>
  <c r="AJ182" i="13"/>
  <c r="AK174" i="13"/>
  <c r="AK173" i="13"/>
  <c r="M80" i="11" s="1"/>
  <c r="AJ41" i="13"/>
  <c r="AI174" i="13"/>
  <c r="AI173" i="13"/>
  <c r="K80" i="11" s="1"/>
  <c r="AJ91" i="13"/>
  <c r="AI91" i="13"/>
  <c r="AK91" i="13"/>
  <c r="AI92" i="13"/>
  <c r="AJ92" i="13"/>
  <c r="AK92" i="13"/>
  <c r="I261" i="5"/>
  <c r="BK311" i="13"/>
  <c r="F64" i="16"/>
  <c r="I64" i="16" s="1"/>
  <c r="F100" i="5"/>
  <c r="F101" i="21" s="1"/>
  <c r="AF101" i="21" s="1"/>
  <c r="F62" i="5"/>
  <c r="F88" i="5"/>
  <c r="F81" i="16"/>
  <c r="I81" i="16" s="1"/>
  <c r="K22" i="3"/>
  <c r="F21" i="16"/>
  <c r="I21" i="16" s="1"/>
  <c r="F161" i="5"/>
  <c r="F82" i="16"/>
  <c r="I82" i="16" s="1"/>
  <c r="F80" i="16"/>
  <c r="I80" i="16" s="1"/>
  <c r="F158" i="5"/>
  <c r="F158" i="21" s="1"/>
  <c r="AM91" i="13"/>
  <c r="AY91" i="13" s="1"/>
  <c r="AB90" i="13"/>
  <c r="K21" i="3"/>
  <c r="BI311" i="13"/>
  <c r="BK304" i="13"/>
  <c r="BT300" i="13" s="1"/>
  <c r="BJ311" i="13"/>
  <c r="F33" i="5"/>
  <c r="F44" i="16"/>
  <c r="I44" i="16" s="1"/>
  <c r="F24" i="16"/>
  <c r="I24" i="16" s="1"/>
  <c r="AI189" i="13"/>
  <c r="AK189" i="13"/>
  <c r="AJ189" i="13"/>
  <c r="F63" i="5"/>
  <c r="AK63" i="13"/>
  <c r="AJ63" i="13"/>
  <c r="AI63" i="13"/>
  <c r="F90" i="5"/>
  <c r="F91" i="21" s="1"/>
  <c r="AF91" i="21" s="1"/>
  <c r="F34" i="5"/>
  <c r="F35" i="21" s="1"/>
  <c r="AF35" i="21" s="1"/>
  <c r="BJ32" i="13"/>
  <c r="BG32" i="13"/>
  <c r="BD32" i="13"/>
  <c r="F27" i="5"/>
  <c r="BJ25" i="13"/>
  <c r="BG25" i="13"/>
  <c r="BD25" i="13"/>
  <c r="AJ192" i="13"/>
  <c r="F126" i="5"/>
  <c r="F126" i="21" s="1"/>
  <c r="AF126" i="21" s="1"/>
  <c r="AK130" i="13"/>
  <c r="AJ130" i="13"/>
  <c r="BT149" i="13"/>
  <c r="BS149" i="13"/>
  <c r="BR149" i="13"/>
  <c r="F76" i="5"/>
  <c r="F74" i="5"/>
  <c r="BJ11" i="13"/>
  <c r="BG11" i="13"/>
  <c r="BH11" i="13" s="1"/>
  <c r="P12" i="5" s="1"/>
  <c r="P12" i="21" s="1"/>
  <c r="F86" i="5"/>
  <c r="F87" i="21" s="1"/>
  <c r="AF87" i="21" s="1"/>
  <c r="F130" i="5"/>
  <c r="F130" i="21" s="1"/>
  <c r="AF130" i="21" s="1"/>
  <c r="AI134" i="13"/>
  <c r="AK134" i="13"/>
  <c r="AJ134" i="13"/>
  <c r="F53" i="5"/>
  <c r="F54" i="21" s="1"/>
  <c r="AF54" i="21" s="1"/>
  <c r="F19" i="5"/>
  <c r="F20" i="21" s="1"/>
  <c r="AF20" i="21" s="1"/>
  <c r="AI16" i="13"/>
  <c r="BJ157" i="13"/>
  <c r="BK157" i="13" s="1"/>
  <c r="W153" i="5" s="1"/>
  <c r="BG157" i="13"/>
  <c r="BH157" i="13" s="1"/>
  <c r="P153" i="5" s="1"/>
  <c r="BD157" i="13"/>
  <c r="BE157" i="13" s="1"/>
  <c r="I153" i="5" s="1"/>
  <c r="AK56" i="13"/>
  <c r="AJ56" i="13"/>
  <c r="AI56" i="13"/>
  <c r="F16" i="5"/>
  <c r="F17" i="21" s="1"/>
  <c r="AF17" i="21" s="1"/>
  <c r="BJ29" i="13"/>
  <c r="BK29" i="13" s="1"/>
  <c r="W31" i="5" s="1"/>
  <c r="BG29" i="13"/>
  <c r="BD29" i="13"/>
  <c r="BE29" i="13" s="1"/>
  <c r="I31" i="5" s="1"/>
  <c r="I31" i="21" s="1"/>
  <c r="F99" i="5"/>
  <c r="BD102" i="13"/>
  <c r="BE102" i="13" s="1"/>
  <c r="I99" i="5" s="1"/>
  <c r="BJ102" i="13"/>
  <c r="BK102" i="13" s="1"/>
  <c r="W99" i="5" s="1"/>
  <c r="BG102" i="13"/>
  <c r="BH102" i="13" s="1"/>
  <c r="P99" i="5" s="1"/>
  <c r="F70" i="5"/>
  <c r="F178" i="5"/>
  <c r="F178" i="21" s="1"/>
  <c r="AF178" i="21" s="1"/>
  <c r="F159" i="5"/>
  <c r="AK162" i="13"/>
  <c r="AJ162" i="13"/>
  <c r="AI162" i="13"/>
  <c r="BS114" i="13"/>
  <c r="F72" i="5"/>
  <c r="BD73" i="13"/>
  <c r="BT73" i="13"/>
  <c r="BG73" i="13"/>
  <c r="F102" i="5"/>
  <c r="AK103" i="13"/>
  <c r="AJ103" i="13"/>
  <c r="AI103" i="13"/>
  <c r="F84" i="5"/>
  <c r="BE234" i="13"/>
  <c r="I40" i="5" s="1"/>
  <c r="BH234" i="13"/>
  <c r="P40" i="5" s="1"/>
  <c r="BK252" i="13"/>
  <c r="W167" i="5" s="1"/>
  <c r="BH252" i="13"/>
  <c r="P167" i="5" s="1"/>
  <c r="F109" i="5"/>
  <c r="F109" i="21" s="1"/>
  <c r="AF109" i="21" s="1"/>
  <c r="BE252" i="13"/>
  <c r="I167" i="5" s="1"/>
  <c r="F53" i="16"/>
  <c r="I53" i="16" s="1"/>
  <c r="BJ163" i="13"/>
  <c r="BK163" i="13" s="1"/>
  <c r="W159" i="5" s="1"/>
  <c r="BG151" i="13"/>
  <c r="BH151" i="13" s="1"/>
  <c r="P146" i="5" s="1"/>
  <c r="F176" i="5"/>
  <c r="F176" i="21" s="1"/>
  <c r="AF176" i="21" s="1"/>
  <c r="F67" i="5"/>
  <c r="F68" i="21" s="1"/>
  <c r="AF68" i="21" s="1"/>
  <c r="F29" i="16"/>
  <c r="I29" i="16" s="1"/>
  <c r="F78" i="16"/>
  <c r="I78" i="16" s="1"/>
  <c r="F59" i="5"/>
  <c r="F60" i="21" s="1"/>
  <c r="AF60" i="21" s="1"/>
  <c r="F22" i="16"/>
  <c r="I22" i="16" s="1"/>
  <c r="BJ150" i="13"/>
  <c r="BK150" i="13" s="1"/>
  <c r="W145" i="5" s="1"/>
  <c r="BD150" i="13"/>
  <c r="BE150" i="13" s="1"/>
  <c r="I145" i="5" s="1"/>
  <c r="BD151" i="13"/>
  <c r="BE151" i="13" s="1"/>
  <c r="I146" i="5" s="1"/>
  <c r="BD163" i="13"/>
  <c r="F128" i="5"/>
  <c r="F128" i="21" s="1"/>
  <c r="AF128" i="21" s="1"/>
  <c r="F124" i="21"/>
  <c r="AF124" i="21" s="1"/>
  <c r="F42" i="5"/>
  <c r="F43" i="21" s="1"/>
  <c r="AF43" i="21" s="1"/>
  <c r="F132" i="5"/>
  <c r="F133" i="21" s="1"/>
  <c r="AF133" i="21" s="1"/>
  <c r="F224" i="5"/>
  <c r="F224" i="21" s="1"/>
  <c r="AF224" i="21" s="1"/>
  <c r="F184" i="5"/>
  <c r="F184" i="21" s="1"/>
  <c r="AF184" i="21" s="1"/>
  <c r="F186" i="5"/>
  <c r="F187" i="21" s="1"/>
  <c r="F19" i="16"/>
  <c r="I19" i="16" s="1"/>
  <c r="F52" i="5"/>
  <c r="F56" i="5"/>
  <c r="F57" i="21" s="1"/>
  <c r="AF57" i="21" s="1"/>
  <c r="F76" i="16"/>
  <c r="I76" i="16" s="1"/>
  <c r="F168" i="5"/>
  <c r="F168" i="21" s="1"/>
  <c r="AF168" i="21" s="1"/>
  <c r="F111" i="5"/>
  <c r="F112" i="21" s="1"/>
  <c r="AF112" i="21" s="1"/>
  <c r="F189" i="5"/>
  <c r="F190" i="21" s="1"/>
  <c r="F172" i="5"/>
  <c r="F173" i="21" s="1"/>
  <c r="AF173" i="21" s="1"/>
  <c r="F143" i="5"/>
  <c r="F143" i="21" s="1"/>
  <c r="AF143" i="21" s="1"/>
  <c r="BT188" i="13"/>
  <c r="F12" i="16"/>
  <c r="I12" i="16" s="1"/>
  <c r="BR188" i="13"/>
  <c r="F54" i="16"/>
  <c r="I54" i="16" s="1"/>
  <c r="AI130" i="13"/>
  <c r="BJ156" i="13"/>
  <c r="BK156" i="13" s="1"/>
  <c r="F9" i="16"/>
  <c r="I9" i="16" s="1"/>
  <c r="F21" i="5"/>
  <c r="F22" i="21" s="1"/>
  <c r="AF22" i="21" s="1"/>
  <c r="F11" i="5"/>
  <c r="AC11" i="5" s="1"/>
  <c r="AC247" i="5" s="1"/>
  <c r="BG150" i="13"/>
  <c r="BH150" i="13" s="1"/>
  <c r="P145" i="5" s="1"/>
  <c r="BD156" i="13"/>
  <c r="BE156" i="13" s="1"/>
  <c r="F18" i="5"/>
  <c r="BJ151" i="13"/>
  <c r="F11" i="16"/>
  <c r="I11" i="16" s="1"/>
  <c r="F32" i="5"/>
  <c r="I11" i="5"/>
  <c r="BD161" i="13"/>
  <c r="BE161" i="13" s="1"/>
  <c r="I157" i="5" s="1"/>
  <c r="BD188" i="13"/>
  <c r="BE188" i="13" s="1"/>
  <c r="I185" i="5" s="1"/>
  <c r="I186" i="21" s="1"/>
  <c r="AB86" i="13"/>
  <c r="AB164" i="13"/>
  <c r="F222" i="5"/>
  <c r="F222" i="21" s="1"/>
  <c r="AF222" i="21" s="1"/>
  <c r="F60" i="16"/>
  <c r="I60" i="16" s="1"/>
  <c r="BJ188" i="13"/>
  <c r="BK188" i="13" s="1"/>
  <c r="W185" i="5" s="1"/>
  <c r="W186" i="21" s="1"/>
  <c r="BG188" i="13"/>
  <c r="BH188" i="13" s="1"/>
  <c r="P185" i="5" s="1"/>
  <c r="P186" i="21" s="1"/>
  <c r="BJ161" i="13"/>
  <c r="BK161" i="13" s="1"/>
  <c r="W157" i="5" s="1"/>
  <c r="BG161" i="13"/>
  <c r="BH161" i="13" s="1"/>
  <c r="P157" i="5" s="1"/>
  <c r="AI59" i="13"/>
  <c r="BS188" i="13"/>
  <c r="BG156" i="13"/>
  <c r="BT158" i="13"/>
  <c r="BS158" i="13"/>
  <c r="I260" i="5" a="1"/>
  <c r="I260" i="5" s="1"/>
  <c r="BR158" i="13"/>
  <c r="BJ22" i="13"/>
  <c r="BT22" i="13"/>
  <c r="BG22" i="13"/>
  <c r="BS22" i="13"/>
  <c r="BJ12" i="13"/>
  <c r="BT12" i="13"/>
  <c r="BD12" i="13"/>
  <c r="BR12" i="13"/>
  <c r="BG12" i="13"/>
  <c r="BS12" i="13"/>
  <c r="BG239" i="13"/>
  <c r="BH239" i="13" s="1"/>
  <c r="P125" i="5" s="1"/>
  <c r="P125" i="21" s="1"/>
  <c r="BD239" i="13"/>
  <c r="BE239" i="13" s="1"/>
  <c r="I125" i="5" s="1"/>
  <c r="I125" i="21" s="1"/>
  <c r="BJ239" i="13"/>
  <c r="BK239" i="13" s="1"/>
  <c r="W125" i="5" s="1"/>
  <c r="W125" i="21" s="1"/>
  <c r="BD22" i="13"/>
  <c r="BR22" i="13"/>
  <c r="F61" i="16"/>
  <c r="I61" i="16" s="1"/>
  <c r="AB210" i="13"/>
  <c r="Z204" i="13"/>
  <c r="AA81" i="13"/>
  <c r="AB81" i="13" s="1"/>
  <c r="F77" i="16"/>
  <c r="AI192" i="13"/>
  <c r="AK192" i="13"/>
  <c r="I247" i="5"/>
  <c r="BE240" i="13"/>
  <c r="I248" i="5" s="1"/>
  <c r="BH240" i="13"/>
  <c r="P129" i="5" s="1"/>
  <c r="P129" i="21" s="1"/>
  <c r="BK240" i="13"/>
  <c r="W129" i="5" s="1"/>
  <c r="W129" i="21" s="1"/>
  <c r="F62" i="16"/>
  <c r="I62" i="16" s="1"/>
  <c r="BE245" i="13"/>
  <c r="I181" i="5" s="1"/>
  <c r="BE244" i="13"/>
  <c r="BE243" i="13"/>
  <c r="BE242" i="13"/>
  <c r="I169" i="5" s="1"/>
  <c r="BH245" i="13"/>
  <c r="P181" i="5" s="1"/>
  <c r="BH244" i="13"/>
  <c r="P177" i="5" s="1"/>
  <c r="BH242" i="13"/>
  <c r="P169" i="5" s="1"/>
  <c r="BK245" i="13"/>
  <c r="W181" i="5" s="1"/>
  <c r="BK244" i="13"/>
  <c r="W177" i="5" s="1"/>
  <c r="BK242" i="13"/>
  <c r="W169" i="5" s="1"/>
  <c r="BK241" i="13"/>
  <c r="W133" i="5" s="1"/>
  <c r="W133" i="21" s="1"/>
  <c r="BH241" i="13"/>
  <c r="P133" i="5" s="1"/>
  <c r="P133" i="21" s="1"/>
  <c r="BE241" i="13"/>
  <c r="I133" i="5" s="1"/>
  <c r="I133" i="21" s="1"/>
  <c r="BK237" i="13"/>
  <c r="W57" i="5" s="1"/>
  <c r="BH237" i="13"/>
  <c r="P57" i="5" s="1"/>
  <c r="BE237" i="13"/>
  <c r="I57" i="5" s="1"/>
  <c r="AB204" i="13"/>
  <c r="F166" i="5"/>
  <c r="AB169" i="13"/>
  <c r="F8" i="16"/>
  <c r="I8" i="16" s="1"/>
  <c r="AB39" i="13"/>
  <c r="F203" i="5"/>
  <c r="F204" i="5"/>
  <c r="BH15" i="13"/>
  <c r="BH27" i="13"/>
  <c r="P29" i="5" s="1"/>
  <c r="BK27" i="13"/>
  <c r="W29" i="5" s="1"/>
  <c r="BE27" i="13"/>
  <c r="I29" i="5" s="1"/>
  <c r="BK15" i="13"/>
  <c r="W17" i="5" s="1"/>
  <c r="W18" i="21" s="1"/>
  <c r="F209" i="5"/>
  <c r="AB201" i="13"/>
  <c r="F80" i="5"/>
  <c r="BD128" i="13"/>
  <c r="BG128" i="13"/>
  <c r="BJ128" i="13"/>
  <c r="BE15" i="13"/>
  <c r="I17" i="5" s="1"/>
  <c r="AI19" i="13"/>
  <c r="AI155" i="13"/>
  <c r="AK155" i="13"/>
  <c r="AJ19" i="13"/>
  <c r="AI117" i="13"/>
  <c r="F7" i="16"/>
  <c r="I7" i="16" s="1"/>
  <c r="AB36" i="13"/>
  <c r="C36" i="11" s="1"/>
  <c r="AI126" i="13"/>
  <c r="F10" i="16"/>
  <c r="I10" i="16" s="1"/>
  <c r="AA197" i="13"/>
  <c r="AA214" i="13"/>
  <c r="AK117" i="13"/>
  <c r="AJ126" i="13"/>
  <c r="AJ117" i="13"/>
  <c r="AK126" i="13"/>
  <c r="BE223" i="13"/>
  <c r="I220" i="5" s="1"/>
  <c r="BE220" i="13"/>
  <c r="I217" i="5" s="1"/>
  <c r="BE69" i="13"/>
  <c r="I67" i="5" s="1"/>
  <c r="BG222" i="13"/>
  <c r="BH222" i="13" s="1"/>
  <c r="P219" i="5" s="1"/>
  <c r="BD221" i="13"/>
  <c r="BG220" i="13"/>
  <c r="BH220" i="13" s="1"/>
  <c r="P217" i="5" s="1"/>
  <c r="BG226" i="13"/>
  <c r="BH226" i="13" s="1"/>
  <c r="P223" i="5" s="1"/>
  <c r="BD226" i="13"/>
  <c r="BJ222" i="13"/>
  <c r="BK222" i="13" s="1"/>
  <c r="W219" i="5" s="1"/>
  <c r="BG218" i="13"/>
  <c r="BH218" i="13" s="1"/>
  <c r="P215" i="5" s="1"/>
  <c r="BJ229" i="13"/>
  <c r="BK229" i="13" s="1"/>
  <c r="W226" i="5" s="1"/>
  <c r="BJ218" i="13"/>
  <c r="BK218" i="13" s="1"/>
  <c r="W215" i="5" s="1"/>
  <c r="BJ223" i="13"/>
  <c r="BK223" i="13" s="1"/>
  <c r="W220" i="5" s="1"/>
  <c r="BG221" i="13"/>
  <c r="BH221" i="13" s="1"/>
  <c r="P218" i="5" s="1"/>
  <c r="BJ221" i="13"/>
  <c r="BK221" i="13" s="1"/>
  <c r="W218" i="5" s="1"/>
  <c r="BD218" i="13"/>
  <c r="BD225" i="13"/>
  <c r="BD224" i="13"/>
  <c r="BJ220" i="13"/>
  <c r="BK220" i="13" s="1"/>
  <c r="W217" i="5" s="1"/>
  <c r="BG223" i="13"/>
  <c r="BH223" i="13" s="1"/>
  <c r="P220" i="5" s="1"/>
  <c r="BJ228" i="13"/>
  <c r="BK228" i="13" s="1"/>
  <c r="W225" i="5" s="1"/>
  <c r="BD228" i="13"/>
  <c r="BJ224" i="13"/>
  <c r="BK224" i="13" s="1"/>
  <c r="W221" i="5" s="1"/>
  <c r="BJ225" i="13"/>
  <c r="BK225" i="13" s="1"/>
  <c r="W222" i="5" s="1"/>
  <c r="BG224" i="13"/>
  <c r="BH224" i="13" s="1"/>
  <c r="P221" i="5" s="1"/>
  <c r="BG225" i="13"/>
  <c r="BH225" i="13" s="1"/>
  <c r="P222" i="5" s="1"/>
  <c r="BD222" i="13"/>
  <c r="F226" i="5"/>
  <c r="F226" i="21" s="1"/>
  <c r="AC218" i="5"/>
  <c r="AC219" i="5"/>
  <c r="F120" i="5"/>
  <c r="F180" i="5"/>
  <c r="F180" i="21" s="1"/>
  <c r="AF180" i="21" s="1"/>
  <c r="BJ75" i="13"/>
  <c r="BK75" i="13" s="1"/>
  <c r="W75" i="5" s="1"/>
  <c r="BG75" i="13"/>
  <c r="BH75" i="13" s="1"/>
  <c r="P75" i="5" s="1"/>
  <c r="BD75" i="13"/>
  <c r="BE75" i="13" s="1"/>
  <c r="BJ46" i="13"/>
  <c r="BK46" i="13" s="1"/>
  <c r="W47" i="5" s="1"/>
  <c r="W47" i="21" s="1"/>
  <c r="BD46" i="13"/>
  <c r="BD113" i="13"/>
  <c r="BJ113" i="13"/>
  <c r="BG113" i="13"/>
  <c r="BJ69" i="13"/>
  <c r="BK69" i="13" s="1"/>
  <c r="W67" i="5" s="1"/>
  <c r="BG69" i="13"/>
  <c r="BH69" i="13" s="1"/>
  <c r="P67" i="5" s="1"/>
  <c r="F28" i="5"/>
  <c r="F29" i="21" s="1"/>
  <c r="AF29" i="21" s="1"/>
  <c r="I32" i="5"/>
  <c r="I33" i="21" s="1"/>
  <c r="I21" i="5"/>
  <c r="F79" i="16"/>
  <c r="I79" i="16" s="1"/>
  <c r="F59" i="16"/>
  <c r="I59" i="16" s="1"/>
  <c r="BD65" i="13"/>
  <c r="BD96" i="13"/>
  <c r="BE96" i="13" s="1"/>
  <c r="BG46" i="13"/>
  <c r="BH46" i="13" s="1"/>
  <c r="P47" i="5" s="1"/>
  <c r="P47" i="21" s="1"/>
  <c r="F214" i="5"/>
  <c r="F214" i="21" s="1"/>
  <c r="AF214" i="21" s="1"/>
  <c r="F94" i="16"/>
  <c r="I150" i="5"/>
  <c r="BK11" i="13" l="1"/>
  <c r="W12" i="5" s="1"/>
  <c r="W12" i="21" s="1"/>
  <c r="I30" i="21"/>
  <c r="P40" i="21"/>
  <c r="P41" i="21"/>
  <c r="W31" i="21"/>
  <c r="W32" i="21"/>
  <c r="P29" i="21"/>
  <c r="P30" i="21"/>
  <c r="W29" i="21"/>
  <c r="W30" i="21"/>
  <c r="I21" i="21"/>
  <c r="I22" i="21"/>
  <c r="I17" i="21"/>
  <c r="I18" i="21"/>
  <c r="I40" i="21"/>
  <c r="I41" i="21"/>
  <c r="F72" i="21"/>
  <c r="F73" i="21"/>
  <c r="F106" i="5"/>
  <c r="F52" i="16"/>
  <c r="I52" i="16" s="1"/>
  <c r="F140" i="21"/>
  <c r="AF140" i="21" s="1"/>
  <c r="F138" i="5"/>
  <c r="AC138" i="5" s="1"/>
  <c r="F63" i="16"/>
  <c r="I63" i="16" s="1"/>
  <c r="AB152" i="13"/>
  <c r="AD131" i="13" s="1"/>
  <c r="BR254" i="13"/>
  <c r="I254" i="5"/>
  <c r="I173" i="5"/>
  <c r="I256" i="5"/>
  <c r="I177" i="5"/>
  <c r="AI250" i="13"/>
  <c r="BR250" i="13" s="1"/>
  <c r="AJ250" i="13"/>
  <c r="BS250" i="13" s="1"/>
  <c r="AK250" i="13"/>
  <c r="BT250" i="13" s="1"/>
  <c r="BT174" i="13"/>
  <c r="L66" i="11"/>
  <c r="M66" i="11"/>
  <c r="BS174" i="13"/>
  <c r="BR174" i="13"/>
  <c r="I153" i="21"/>
  <c r="I151" i="5"/>
  <c r="W153" i="21"/>
  <c r="W151" i="5"/>
  <c r="AK144" i="13"/>
  <c r="AJ144" i="13"/>
  <c r="AI144" i="13"/>
  <c r="F227" i="21"/>
  <c r="I67" i="21"/>
  <c r="I68" i="21"/>
  <c r="F225" i="21"/>
  <c r="I57" i="21"/>
  <c r="I58" i="21"/>
  <c r="W226" i="21"/>
  <c r="W227" i="21"/>
  <c r="P57" i="21"/>
  <c r="P58" i="21"/>
  <c r="W57" i="21"/>
  <c r="W58" i="21"/>
  <c r="F159" i="21"/>
  <c r="I158" i="21"/>
  <c r="W159" i="21"/>
  <c r="W160" i="21"/>
  <c r="W67" i="21"/>
  <c r="W68" i="21"/>
  <c r="P67" i="21"/>
  <c r="P68" i="21"/>
  <c r="P157" i="21"/>
  <c r="P158" i="21"/>
  <c r="W157" i="21"/>
  <c r="W158" i="21"/>
  <c r="BK299" i="13"/>
  <c r="F77" i="5"/>
  <c r="F78" i="21" s="1"/>
  <c r="AF78" i="21" s="1"/>
  <c r="AB75" i="13"/>
  <c r="AJ77" i="13"/>
  <c r="AJ75" i="13" s="1"/>
  <c r="AK77" i="13"/>
  <c r="AK75" i="13" s="1"/>
  <c r="BJ299" i="13"/>
  <c r="BI299" i="13"/>
  <c r="AB231" i="13"/>
  <c r="AD223" i="13" s="1"/>
  <c r="F216" i="5"/>
  <c r="F216" i="21" s="1"/>
  <c r="AF216" i="21" s="1"/>
  <c r="F107" i="21"/>
  <c r="AF107" i="21" s="1"/>
  <c r="AI236" i="13"/>
  <c r="AI50" i="13" s="1"/>
  <c r="AK236" i="13"/>
  <c r="F238" i="5"/>
  <c r="AJ236" i="13"/>
  <c r="F48" i="5"/>
  <c r="F49" i="21" s="1"/>
  <c r="AF49" i="21" s="1"/>
  <c r="F111" i="21"/>
  <c r="AF111" i="21" s="1"/>
  <c r="AF187" i="21"/>
  <c r="F186" i="21"/>
  <c r="AF186" i="21" s="1"/>
  <c r="F132" i="21"/>
  <c r="AF132" i="21" s="1"/>
  <c r="F189" i="21"/>
  <c r="AF189" i="21" s="1"/>
  <c r="F121" i="21"/>
  <c r="AF121" i="21" s="1"/>
  <c r="F120" i="21"/>
  <c r="AF120" i="21" s="1"/>
  <c r="P144" i="21"/>
  <c r="P146" i="21"/>
  <c r="I144" i="21"/>
  <c r="I146" i="21"/>
  <c r="I143" i="21"/>
  <c r="I145" i="21"/>
  <c r="W143" i="21"/>
  <c r="W145" i="21"/>
  <c r="P143" i="21"/>
  <c r="P145" i="21"/>
  <c r="F185" i="21"/>
  <c r="AF185" i="21" s="1"/>
  <c r="F215" i="21"/>
  <c r="AF215" i="21" s="1"/>
  <c r="F144" i="21"/>
  <c r="AF144" i="21" s="1"/>
  <c r="AF190" i="21"/>
  <c r="F167" i="21"/>
  <c r="AF167" i="21" s="1"/>
  <c r="F179" i="21"/>
  <c r="AF179" i="21" s="1"/>
  <c r="P168" i="21"/>
  <c r="W168" i="21"/>
  <c r="W223" i="21"/>
  <c r="P222" i="21"/>
  <c r="W220" i="21"/>
  <c r="I168" i="21"/>
  <c r="I181" i="21"/>
  <c r="W218" i="21"/>
  <c r="I150" i="21"/>
  <c r="W219" i="21"/>
  <c r="I135" i="21"/>
  <c r="I137" i="21"/>
  <c r="P135" i="21"/>
  <c r="P137" i="21"/>
  <c r="I166" i="21"/>
  <c r="I169" i="21"/>
  <c r="P99" i="21"/>
  <c r="P100" i="21"/>
  <c r="W99" i="21"/>
  <c r="W100" i="21"/>
  <c r="I132" i="21"/>
  <c r="I134" i="21"/>
  <c r="I99" i="21"/>
  <c r="I100" i="21"/>
  <c r="W222" i="21"/>
  <c r="P220" i="21"/>
  <c r="P132" i="21"/>
  <c r="P134" i="21"/>
  <c r="I182" i="21"/>
  <c r="I185" i="21"/>
  <c r="P75" i="21"/>
  <c r="P76" i="21"/>
  <c r="W132" i="21"/>
  <c r="W134" i="21"/>
  <c r="W75" i="21"/>
  <c r="W76" i="21"/>
  <c r="W166" i="21"/>
  <c r="W169" i="21"/>
  <c r="W128" i="21"/>
  <c r="W130" i="21"/>
  <c r="P138" i="21"/>
  <c r="I184" i="21"/>
  <c r="W182" i="21"/>
  <c r="W185" i="21"/>
  <c r="P181" i="21"/>
  <c r="P128" i="21"/>
  <c r="P130" i="21"/>
  <c r="I124" i="21"/>
  <c r="I126" i="21"/>
  <c r="W135" i="21"/>
  <c r="W137" i="21"/>
  <c r="W177" i="21"/>
  <c r="I138" i="21"/>
  <c r="P166" i="21"/>
  <c r="P169" i="21"/>
  <c r="P182" i="21"/>
  <c r="P185" i="21"/>
  <c r="W124" i="21"/>
  <c r="W126" i="21"/>
  <c r="P219" i="21"/>
  <c r="P124" i="21"/>
  <c r="P126" i="21"/>
  <c r="P218" i="21"/>
  <c r="P177" i="21"/>
  <c r="W138" i="21"/>
  <c r="W181" i="21"/>
  <c r="AA231" i="13"/>
  <c r="AK219" i="13"/>
  <c r="AJ219" i="13"/>
  <c r="AI219" i="13"/>
  <c r="F96" i="16"/>
  <c r="I96" i="16" s="1"/>
  <c r="AJ169" i="13"/>
  <c r="BS170" i="13"/>
  <c r="AK169" i="13"/>
  <c r="BT170" i="13"/>
  <c r="AI169" i="13"/>
  <c r="BR170" i="13"/>
  <c r="BD173" i="13"/>
  <c r="BE173" i="13" s="1"/>
  <c r="I170" i="5" s="1"/>
  <c r="I167" i="21" s="1"/>
  <c r="AI243" i="13"/>
  <c r="H173" i="5" s="1"/>
  <c r="F11" i="21"/>
  <c r="AF11" i="21" s="1"/>
  <c r="AC214" i="5"/>
  <c r="AC18" i="5"/>
  <c r="F18" i="21"/>
  <c r="AF18" i="21" s="1"/>
  <c r="AC56" i="5"/>
  <c r="F56" i="21"/>
  <c r="AF56" i="21" s="1"/>
  <c r="AC159" i="5"/>
  <c r="AC86" i="5"/>
  <c r="AC62" i="5"/>
  <c r="F62" i="21"/>
  <c r="AF62" i="21" s="1"/>
  <c r="AC180" i="5"/>
  <c r="F177" i="21"/>
  <c r="AF177" i="21" s="1"/>
  <c r="AC106" i="5"/>
  <c r="F106" i="21"/>
  <c r="AF106" i="21" s="1"/>
  <c r="AC222" i="5"/>
  <c r="F219" i="21"/>
  <c r="AF219" i="21" s="1"/>
  <c r="AC52" i="5"/>
  <c r="F52" i="21"/>
  <c r="AF52" i="21" s="1"/>
  <c r="AC109" i="5"/>
  <c r="F108" i="21"/>
  <c r="AF108" i="21" s="1"/>
  <c r="AC102" i="5"/>
  <c r="F102" i="21"/>
  <c r="AF102" i="21" s="1"/>
  <c r="AC178" i="5"/>
  <c r="F175" i="21"/>
  <c r="AF175" i="21" s="1"/>
  <c r="AC63" i="5"/>
  <c r="F63" i="21"/>
  <c r="AF63" i="21" s="1"/>
  <c r="AC100" i="5"/>
  <c r="F100" i="21"/>
  <c r="AF100" i="21" s="1"/>
  <c r="AC120" i="5"/>
  <c r="AC256" i="5" s="1"/>
  <c r="AC70" i="5"/>
  <c r="F70" i="21"/>
  <c r="AF70" i="21" s="1"/>
  <c r="AC186" i="5"/>
  <c r="F183" i="21"/>
  <c r="AF183" i="21" s="1"/>
  <c r="AC74" i="5"/>
  <c r="F74" i="21"/>
  <c r="AF74" i="21" s="1"/>
  <c r="AC27" i="5"/>
  <c r="F27" i="21"/>
  <c r="AF27" i="21" s="1"/>
  <c r="AC21" i="5"/>
  <c r="AC248" i="5" s="1"/>
  <c r="F21" i="21"/>
  <c r="AF21" i="21" s="1"/>
  <c r="AC59" i="5"/>
  <c r="F59" i="21"/>
  <c r="AF59" i="21" s="1"/>
  <c r="AC76" i="5"/>
  <c r="AC158" i="5"/>
  <c r="AF155" i="21"/>
  <c r="AC226" i="5"/>
  <c r="F223" i="21"/>
  <c r="AF223" i="21" s="1"/>
  <c r="AC203" i="5"/>
  <c r="AC184" i="5"/>
  <c r="F181" i="21"/>
  <c r="AF181" i="21" s="1"/>
  <c r="AC72" i="5"/>
  <c r="F71" i="21"/>
  <c r="AF71" i="21" s="1"/>
  <c r="K66" i="21"/>
  <c r="I32" i="21"/>
  <c r="AC28" i="5"/>
  <c r="F28" i="21"/>
  <c r="AF28" i="21" s="1"/>
  <c r="F137" i="21"/>
  <c r="AF137" i="21" s="1"/>
  <c r="AC143" i="5"/>
  <c r="F141" i="21"/>
  <c r="AF141" i="21" s="1"/>
  <c r="AC224" i="5"/>
  <c r="F221" i="21"/>
  <c r="AF221" i="21" s="1"/>
  <c r="AC99" i="5"/>
  <c r="F99" i="21"/>
  <c r="AF99" i="21" s="1"/>
  <c r="AC19" i="5"/>
  <c r="F19" i="21"/>
  <c r="AF19" i="21" s="1"/>
  <c r="AC204" i="5"/>
  <c r="AF213" i="21"/>
  <c r="AC172" i="5"/>
  <c r="F169" i="21"/>
  <c r="AF169" i="21" s="1"/>
  <c r="AC132" i="5"/>
  <c r="F131" i="21"/>
  <c r="AF131" i="21" s="1"/>
  <c r="AC67" i="5"/>
  <c r="AC253" i="5" s="1"/>
  <c r="F67" i="21"/>
  <c r="AF67" i="21" s="1"/>
  <c r="AC53" i="5"/>
  <c r="F53" i="21"/>
  <c r="AF53" i="21" s="1"/>
  <c r="AC34" i="5"/>
  <c r="F34" i="21"/>
  <c r="AF34" i="21" s="1"/>
  <c r="AC161" i="5"/>
  <c r="AF158" i="21"/>
  <c r="AC80" i="5"/>
  <c r="AC189" i="5"/>
  <c r="AC42" i="5"/>
  <c r="F42" i="21"/>
  <c r="AF42" i="21" s="1"/>
  <c r="AC176" i="5"/>
  <c r="F172" i="21"/>
  <c r="AF172" i="21" s="1"/>
  <c r="AC166" i="5"/>
  <c r="AC32" i="5"/>
  <c r="AC250" i="5" s="1"/>
  <c r="F32" i="21"/>
  <c r="AF32" i="21" s="1"/>
  <c r="AC111" i="5"/>
  <c r="F110" i="21"/>
  <c r="AF110" i="21" s="1"/>
  <c r="AC124" i="5"/>
  <c r="F123" i="21"/>
  <c r="AF123" i="21" s="1"/>
  <c r="AC84" i="5"/>
  <c r="F84" i="21"/>
  <c r="AF84" i="21" s="1"/>
  <c r="AC90" i="5"/>
  <c r="AC33" i="5"/>
  <c r="F33" i="21"/>
  <c r="AF33" i="21" s="1"/>
  <c r="AC209" i="5"/>
  <c r="AC168" i="5"/>
  <c r="AC128" i="5"/>
  <c r="F127" i="21"/>
  <c r="AF127" i="21" s="1"/>
  <c r="AC16" i="5"/>
  <c r="F16" i="21"/>
  <c r="AF16" i="21" s="1"/>
  <c r="AC126" i="5"/>
  <c r="F125" i="21"/>
  <c r="AF125" i="21" s="1"/>
  <c r="AB36" i="21"/>
  <c r="W17" i="21"/>
  <c r="AC130" i="5"/>
  <c r="F129" i="21"/>
  <c r="AF129" i="21" s="1"/>
  <c r="AC88" i="5"/>
  <c r="F88" i="21"/>
  <c r="AF88" i="21" s="1"/>
  <c r="AB213" i="21"/>
  <c r="AB97" i="21"/>
  <c r="AB106" i="21"/>
  <c r="AI183" i="13"/>
  <c r="AK183" i="13"/>
  <c r="AJ183" i="13"/>
  <c r="AJ201" i="13"/>
  <c r="AI201" i="13"/>
  <c r="AK201" i="13"/>
  <c r="AJ81" i="13"/>
  <c r="AI81" i="13"/>
  <c r="AK81" i="13"/>
  <c r="AJ210" i="13"/>
  <c r="AK210" i="13"/>
  <c r="AI210" i="13"/>
  <c r="BJ314" i="13"/>
  <c r="BS308" i="13" s="1"/>
  <c r="AD49" i="11" s="1"/>
  <c r="BI304" i="13"/>
  <c r="BR300" i="13" s="1"/>
  <c r="AK59" i="13"/>
  <c r="BD11" i="13"/>
  <c r="BE11" i="13" s="1"/>
  <c r="I12" i="5" s="1"/>
  <c r="I12" i="21" s="1"/>
  <c r="BK301" i="13"/>
  <c r="BJ325" i="13"/>
  <c r="BS314" i="13" s="1"/>
  <c r="AD55" i="11" s="1"/>
  <c r="BK314" i="13"/>
  <c r="BT308" i="13" s="1"/>
  <c r="AE49" i="11" s="1"/>
  <c r="BK325" i="13"/>
  <c r="BT314" i="13" s="1"/>
  <c r="AE55" i="11" s="1"/>
  <c r="AJ59" i="13"/>
  <c r="I250" i="5"/>
  <c r="BI314" i="13"/>
  <c r="BR308" i="13" s="1"/>
  <c r="AC49" i="11" s="1"/>
  <c r="BI301" i="13"/>
  <c r="BJ304" i="13"/>
  <c r="BS300" i="13" s="1"/>
  <c r="BJ301" i="13"/>
  <c r="AK90" i="13"/>
  <c r="BI325" i="13"/>
  <c r="BR314" i="13" s="1"/>
  <c r="AC55" i="11" s="1"/>
  <c r="AP91" i="13"/>
  <c r="BB91" i="13" s="1"/>
  <c r="AO91" i="13"/>
  <c r="BA91" i="13" s="1"/>
  <c r="AN91" i="13"/>
  <c r="AZ91" i="13" s="1"/>
  <c r="AQ91" i="13"/>
  <c r="BC91" i="13" s="1"/>
  <c r="AK16" i="13"/>
  <c r="BH29" i="13"/>
  <c r="P31" i="5" s="1"/>
  <c r="BH32" i="13"/>
  <c r="P34" i="5" s="1"/>
  <c r="AI75" i="13"/>
  <c r="AJ30" i="13"/>
  <c r="AK51" i="13"/>
  <c r="BJ114" i="13"/>
  <c r="BK114" i="13" s="1"/>
  <c r="BK296" i="13"/>
  <c r="AK113" i="13"/>
  <c r="AK123" i="13" s="1"/>
  <c r="W117" i="5" s="1"/>
  <c r="W117" i="21" s="1"/>
  <c r="BD114" i="13"/>
  <c r="AJ26" i="13"/>
  <c r="AK10" i="13"/>
  <c r="AK26" i="13"/>
  <c r="AK100" i="13"/>
  <c r="AK110" i="13" s="1"/>
  <c r="W103" i="5" s="1"/>
  <c r="W103" i="21" s="1"/>
  <c r="BJ318" i="13"/>
  <c r="BK320" i="13"/>
  <c r="AJ51" i="13"/>
  <c r="AJ10" i="13"/>
  <c r="BI320" i="13"/>
  <c r="AD114" i="13"/>
  <c r="AE114" i="13" s="1"/>
  <c r="H107" i="5" s="1"/>
  <c r="C40" i="11"/>
  <c r="BJ296" i="13"/>
  <c r="AK148" i="13"/>
  <c r="AI51" i="13"/>
  <c r="AI10" i="13"/>
  <c r="AJ148" i="13"/>
  <c r="AJ100" i="13"/>
  <c r="AJ110" i="13" s="1"/>
  <c r="F39" i="11" s="1"/>
  <c r="BE73" i="13"/>
  <c r="I72" i="5" s="1"/>
  <c r="AI100" i="13"/>
  <c r="AI110" i="13" s="1"/>
  <c r="D39" i="11" s="1"/>
  <c r="AK19" i="13"/>
  <c r="AI113" i="13"/>
  <c r="AI123" i="13" s="1"/>
  <c r="AJ90" i="13"/>
  <c r="BJ320" i="13"/>
  <c r="AJ86" i="13"/>
  <c r="AJ155" i="13"/>
  <c r="AJ166" i="13" s="1"/>
  <c r="P162" i="5" s="1"/>
  <c r="P162" i="21" s="1"/>
  <c r="AJ16" i="13"/>
  <c r="BG163" i="13"/>
  <c r="BR73" i="13"/>
  <c r="BK302" i="13"/>
  <c r="AI69" i="13"/>
  <c r="BH73" i="13"/>
  <c r="P72" i="5" s="1"/>
  <c r="AI148" i="13"/>
  <c r="AK86" i="13"/>
  <c r="AK69" i="13"/>
  <c r="AI86" i="13"/>
  <c r="AJ69" i="13"/>
  <c r="AI90" i="13"/>
  <c r="AK30" i="13"/>
  <c r="BK32" i="13"/>
  <c r="W34" i="5" s="1"/>
  <c r="W35" i="21" s="1"/>
  <c r="BE163" i="13"/>
  <c r="I159" i="5" s="1"/>
  <c r="BI318" i="13"/>
  <c r="BJ73" i="13"/>
  <c r="BE32" i="13"/>
  <c r="I34" i="5" s="1"/>
  <c r="AJ113" i="13"/>
  <c r="AJ123" i="13" s="1"/>
  <c r="P117" i="5" s="1"/>
  <c r="P117" i="21" s="1"/>
  <c r="AI30" i="13"/>
  <c r="AI26" i="13"/>
  <c r="BI302" i="13"/>
  <c r="BG114" i="13"/>
  <c r="BH114" i="13" s="1"/>
  <c r="BS73" i="13"/>
  <c r="AK39" i="13"/>
  <c r="AJ39" i="13"/>
  <c r="AI39" i="13"/>
  <c r="I258" i="5"/>
  <c r="BK324" i="13"/>
  <c r="BI317" i="13"/>
  <c r="BK309" i="13"/>
  <c r="BT304" i="13" s="1"/>
  <c r="AE45" i="11" s="1"/>
  <c r="BE12" i="13"/>
  <c r="I13" i="5" s="1"/>
  <c r="BH12" i="13"/>
  <c r="P13" i="5" s="1"/>
  <c r="P13" i="21" s="1"/>
  <c r="BK12" i="13"/>
  <c r="W13" i="5" s="1"/>
  <c r="W13" i="21" s="1"/>
  <c r="AD115" i="13"/>
  <c r="BK317" i="13"/>
  <c r="BJ309" i="13"/>
  <c r="BS304" i="13" s="1"/>
  <c r="AD45" i="11" s="1"/>
  <c r="AB166" i="13"/>
  <c r="AB208" i="13"/>
  <c r="AK138" i="13"/>
  <c r="AJ138" i="13"/>
  <c r="AI138" i="13"/>
  <c r="BI309" i="13"/>
  <c r="BR304" i="13" s="1"/>
  <c r="AC45" i="11" s="1"/>
  <c r="AD122" i="13"/>
  <c r="AF122" i="13" s="1"/>
  <c r="I259" i="5"/>
  <c r="AD118" i="13"/>
  <c r="AE118" i="13" s="1"/>
  <c r="AD116" i="13"/>
  <c r="AF116" i="13" s="1"/>
  <c r="AD119" i="13"/>
  <c r="AG119" i="13" s="1"/>
  <c r="AD113" i="13"/>
  <c r="AD117" i="13"/>
  <c r="AD121" i="13"/>
  <c r="AD120" i="13"/>
  <c r="AG120" i="13" s="1"/>
  <c r="BI323" i="13"/>
  <c r="BI319" i="13"/>
  <c r="F87" i="16"/>
  <c r="I87" i="16" s="1"/>
  <c r="F202" i="5"/>
  <c r="F203" i="21" s="1"/>
  <c r="AF203" i="21" s="1"/>
  <c r="F39" i="5"/>
  <c r="F40" i="21" s="1"/>
  <c r="AF40" i="21" s="1"/>
  <c r="AB79" i="13"/>
  <c r="F81" i="5"/>
  <c r="AB197" i="13"/>
  <c r="Z208" i="13"/>
  <c r="BI328" i="13"/>
  <c r="BR317" i="13" s="1"/>
  <c r="AC58" i="11" s="1"/>
  <c r="BJ328" i="13"/>
  <c r="BS317" i="13" s="1"/>
  <c r="AD58" i="11" s="1"/>
  <c r="AI166" i="13"/>
  <c r="BK319" i="13"/>
  <c r="BK328" i="13"/>
  <c r="BT317" i="13" s="1"/>
  <c r="AE58" i="11" s="1"/>
  <c r="BK151" i="13"/>
  <c r="W146" i="5" s="1"/>
  <c r="BH156" i="13"/>
  <c r="BJ323" i="13"/>
  <c r="BJ317" i="13"/>
  <c r="BK323" i="13"/>
  <c r="AK166" i="13"/>
  <c r="W162" i="5" s="1"/>
  <c r="W162" i="21" s="1"/>
  <c r="AK179" i="13"/>
  <c r="BJ181" i="13"/>
  <c r="AI179" i="13"/>
  <c r="BD181" i="13"/>
  <c r="AJ179" i="13"/>
  <c r="BG181" i="13"/>
  <c r="BS173" i="13"/>
  <c r="BG173" i="13"/>
  <c r="BT173" i="13"/>
  <c r="BJ173" i="13"/>
  <c r="BK313" i="13"/>
  <c r="BT307" i="13" s="1"/>
  <c r="AE48" i="11" s="1"/>
  <c r="BE22" i="13"/>
  <c r="I24" i="5" s="1"/>
  <c r="I24" i="21" s="1"/>
  <c r="BK22" i="13"/>
  <c r="W24" i="5" s="1"/>
  <c r="W25" i="21" s="1"/>
  <c r="BH22" i="13"/>
  <c r="P24" i="5" s="1"/>
  <c r="P24" i="21" s="1"/>
  <c r="I257" i="5"/>
  <c r="BJ313" i="13"/>
  <c r="BS307" i="13" s="1"/>
  <c r="AD48" i="11" s="1"/>
  <c r="BI313" i="13"/>
  <c r="BR307" i="13" s="1"/>
  <c r="AC48" i="11" s="1"/>
  <c r="AI171" i="13"/>
  <c r="BR173" i="13"/>
  <c r="I249" i="5"/>
  <c r="AB213" i="13"/>
  <c r="I129" i="5"/>
  <c r="I129" i="21" s="1"/>
  <c r="AB66" i="13"/>
  <c r="C37" i="11" s="1"/>
  <c r="F17" i="16"/>
  <c r="I17" i="16" s="1"/>
  <c r="P17" i="5"/>
  <c r="I253" i="5"/>
  <c r="AK243" i="13"/>
  <c r="V173" i="5" s="1"/>
  <c r="F165" i="5"/>
  <c r="F165" i="21" s="1"/>
  <c r="AF165" i="21" s="1"/>
  <c r="F75" i="16"/>
  <c r="I75" i="16" s="1"/>
  <c r="AJ243" i="13"/>
  <c r="O173" i="5" s="1"/>
  <c r="AJ171" i="13"/>
  <c r="AK171" i="13"/>
  <c r="BI315" i="13"/>
  <c r="BR309" i="13" s="1"/>
  <c r="AC50" i="11" s="1"/>
  <c r="BJ315" i="13"/>
  <c r="BS309" i="13" s="1"/>
  <c r="AD50" i="11" s="1"/>
  <c r="BK315" i="13"/>
  <c r="BT309" i="13" s="1"/>
  <c r="AE50" i="11" s="1"/>
  <c r="AI204" i="13"/>
  <c r="AJ204" i="13"/>
  <c r="F47" i="5"/>
  <c r="F18" i="16"/>
  <c r="I18" i="16" s="1"/>
  <c r="AK204" i="13"/>
  <c r="BH128" i="13"/>
  <c r="P122" i="5" s="1"/>
  <c r="P122" i="21" s="1"/>
  <c r="BG24" i="13"/>
  <c r="BH24" i="13" s="1"/>
  <c r="P26" i="5" s="1"/>
  <c r="P26" i="21" s="1"/>
  <c r="BJ24" i="13"/>
  <c r="BK24" i="13" s="1"/>
  <c r="W26" i="5" s="1"/>
  <c r="W26" i="21" s="1"/>
  <c r="BE128" i="13"/>
  <c r="I122" i="5" s="1"/>
  <c r="I122" i="21" s="1"/>
  <c r="I175" i="5"/>
  <c r="BH158" i="13"/>
  <c r="BJ321" i="13" s="1"/>
  <c r="BK158" i="13"/>
  <c r="BK321" i="13"/>
  <c r="BK113" i="13"/>
  <c r="W106" i="5" s="1"/>
  <c r="W106" i="21" s="1"/>
  <c r="BK128" i="13"/>
  <c r="W122" i="5" s="1"/>
  <c r="W122" i="21" s="1"/>
  <c r="BD24" i="13"/>
  <c r="BH25" i="13"/>
  <c r="P27" i="5" s="1"/>
  <c r="BK25" i="13"/>
  <c r="W27" i="5" s="1"/>
  <c r="BE25" i="13"/>
  <c r="I27" i="5" s="1"/>
  <c r="F198" i="5"/>
  <c r="AD13" i="13"/>
  <c r="AG13" i="13" s="1"/>
  <c r="AD23" i="13"/>
  <c r="AD24" i="13"/>
  <c r="I25" i="5"/>
  <c r="AE139" i="13"/>
  <c r="AG139" i="13"/>
  <c r="AF139" i="13"/>
  <c r="AE131" i="13"/>
  <c r="AG131" i="13"/>
  <c r="AF131" i="13"/>
  <c r="AG135" i="13"/>
  <c r="AE135" i="13"/>
  <c r="AF135" i="13"/>
  <c r="AE127" i="13"/>
  <c r="AG127" i="13"/>
  <c r="AF127" i="13"/>
  <c r="I174" i="5"/>
  <c r="I174" i="21" s="1"/>
  <c r="AG193" i="13"/>
  <c r="AF193" i="13"/>
  <c r="AE193" i="13"/>
  <c r="AE176" i="13"/>
  <c r="AG176" i="13"/>
  <c r="AE172" i="13"/>
  <c r="AF172" i="13"/>
  <c r="AG172" i="13"/>
  <c r="AG180" i="13"/>
  <c r="AE180" i="13"/>
  <c r="AF180" i="13"/>
  <c r="AG184" i="13"/>
  <c r="AE184" i="13"/>
  <c r="AF184" i="13"/>
  <c r="AE190" i="13"/>
  <c r="AF190" i="13"/>
  <c r="AG190" i="13"/>
  <c r="AD22" i="13"/>
  <c r="AE22" i="13" s="1"/>
  <c r="H24" i="5" s="1"/>
  <c r="F14" i="16"/>
  <c r="I14" i="16" s="1"/>
  <c r="F68" i="16"/>
  <c r="I68" i="16" s="1"/>
  <c r="F150" i="5"/>
  <c r="AD31" i="13"/>
  <c r="AF31" i="13" s="1"/>
  <c r="AD11" i="13"/>
  <c r="AF11" i="13" s="1"/>
  <c r="AD30" i="13"/>
  <c r="AD25" i="13"/>
  <c r="AE25" i="13" s="1"/>
  <c r="AD17" i="13"/>
  <c r="AE17" i="13" s="1"/>
  <c r="H19" i="5" s="1"/>
  <c r="AD21" i="13"/>
  <c r="AE21" i="13" s="1"/>
  <c r="H23" i="5" s="1"/>
  <c r="AD16" i="13"/>
  <c r="AD26" i="13"/>
  <c r="AD10" i="13"/>
  <c r="AD20" i="13"/>
  <c r="AF20" i="13" s="1"/>
  <c r="AD29" i="13"/>
  <c r="AE29" i="13" s="1"/>
  <c r="H31" i="5" s="1"/>
  <c r="AD33" i="13"/>
  <c r="AE33" i="13" s="1"/>
  <c r="H35" i="5" s="1"/>
  <c r="AD15" i="13"/>
  <c r="AE15" i="13" s="1"/>
  <c r="H17" i="5" s="1"/>
  <c r="AD19" i="13"/>
  <c r="AD28" i="13"/>
  <c r="AG28" i="13" s="1"/>
  <c r="AD12" i="13"/>
  <c r="AE12" i="13" s="1"/>
  <c r="H13" i="5" s="1"/>
  <c r="H13" i="21" s="1"/>
  <c r="AD14" i="13"/>
  <c r="AE14" i="13" s="1"/>
  <c r="H16" i="5" s="1"/>
  <c r="F36" i="5"/>
  <c r="AD32" i="13"/>
  <c r="AE32" i="13" s="1"/>
  <c r="H34" i="5" s="1"/>
  <c r="AD27" i="13"/>
  <c r="AG27" i="13" s="1"/>
  <c r="AD18" i="13"/>
  <c r="AF18" i="13" s="1"/>
  <c r="F97" i="5"/>
  <c r="F98" i="21" s="1"/>
  <c r="AF98" i="21" s="1"/>
  <c r="AB110" i="13"/>
  <c r="C39" i="11" s="1"/>
  <c r="F43" i="16"/>
  <c r="BE65" i="13"/>
  <c r="BH113" i="13"/>
  <c r="P106" i="5" s="1"/>
  <c r="P106" i="21" s="1"/>
  <c r="BE226" i="13"/>
  <c r="I223" i="5" s="1"/>
  <c r="BE225" i="13"/>
  <c r="I222" i="5" s="1"/>
  <c r="BE221" i="13"/>
  <c r="I218" i="5" s="1"/>
  <c r="BE218" i="13"/>
  <c r="I215" i="5" s="1"/>
  <c r="BE224" i="13"/>
  <c r="I221" i="5" s="1"/>
  <c r="BE222" i="13"/>
  <c r="I219" i="5" s="1"/>
  <c r="BE228" i="13"/>
  <c r="I225" i="5" s="1"/>
  <c r="BE113" i="13"/>
  <c r="I106" i="5" s="1"/>
  <c r="I106" i="21" s="1"/>
  <c r="BE46" i="13"/>
  <c r="I47" i="5" s="1"/>
  <c r="I47" i="21" s="1"/>
  <c r="BG227" i="13"/>
  <c r="BH227" i="13" s="1"/>
  <c r="P224" i="5" s="1"/>
  <c r="P225" i="21" s="1"/>
  <c r="BG229" i="13"/>
  <c r="BH229" i="13" s="1"/>
  <c r="P226" i="5" s="1"/>
  <c r="P227" i="21" s="1"/>
  <c r="BD229" i="13"/>
  <c r="BG219" i="13"/>
  <c r="BH219" i="13" s="1"/>
  <c r="P216" i="5" s="1"/>
  <c r="BJ227" i="13"/>
  <c r="BK227" i="13" s="1"/>
  <c r="W224" i="5" s="1"/>
  <c r="W225" i="21" s="1"/>
  <c r="BD219" i="13"/>
  <c r="BJ219" i="13"/>
  <c r="BK219" i="13" s="1"/>
  <c r="W216" i="5" s="1"/>
  <c r="BD227" i="13"/>
  <c r="BJ217" i="13"/>
  <c r="BK217" i="13" s="1"/>
  <c r="W214" i="5" s="1"/>
  <c r="W215" i="21" s="1"/>
  <c r="BG217" i="13"/>
  <c r="BH217" i="13" s="1"/>
  <c r="P214" i="5" s="1"/>
  <c r="P215" i="21" s="1"/>
  <c r="BD217" i="13"/>
  <c r="I156" i="5"/>
  <c r="I75" i="5"/>
  <c r="I62" i="5"/>
  <c r="BG155" i="13"/>
  <c r="BH155" i="13" s="1"/>
  <c r="P150" i="5" s="1"/>
  <c r="BJ155" i="13"/>
  <c r="BK155" i="13" s="1"/>
  <c r="W150" i="5" s="1"/>
  <c r="I28" i="5"/>
  <c r="I94" i="16"/>
  <c r="L70" i="11" l="1"/>
  <c r="AD137" i="13"/>
  <c r="AG137" i="13" s="1"/>
  <c r="AD129" i="13"/>
  <c r="AG129" i="13" s="1"/>
  <c r="F147" i="5"/>
  <c r="F147" i="21" s="1"/>
  <c r="AF147" i="21" s="1"/>
  <c r="M70" i="11"/>
  <c r="K70" i="11"/>
  <c r="BJ145" i="13"/>
  <c r="BG145" i="13"/>
  <c r="BD145" i="13"/>
  <c r="BD250" i="13" s="1"/>
  <c r="BE250" i="13" s="1"/>
  <c r="F65" i="16"/>
  <c r="I65" i="16" s="1"/>
  <c r="F77" i="21"/>
  <c r="AF77" i="21" s="1"/>
  <c r="F138" i="21"/>
  <c r="AF138" i="21" s="1"/>
  <c r="I25" i="21"/>
  <c r="AD149" i="13"/>
  <c r="AE149" i="13" s="1"/>
  <c r="H144" i="5" s="1"/>
  <c r="AD135" i="13"/>
  <c r="AD134" i="13"/>
  <c r="AC77" i="5"/>
  <c r="AD145" i="13"/>
  <c r="AE145" i="13" s="1"/>
  <c r="AD147" i="13"/>
  <c r="AF147" i="13" s="1"/>
  <c r="AD133" i="13"/>
  <c r="AF133" i="13" s="1"/>
  <c r="C41" i="11"/>
  <c r="F217" i="21"/>
  <c r="AF217" i="21" s="1"/>
  <c r="AD148" i="13"/>
  <c r="AD128" i="13"/>
  <c r="AF128" i="13" s="1"/>
  <c r="AD143" i="13"/>
  <c r="AG143" i="13" s="1"/>
  <c r="V137" i="5" s="1"/>
  <c r="AD139" i="13"/>
  <c r="AD150" i="13"/>
  <c r="AE150" i="13" s="1"/>
  <c r="H145" i="5" s="1"/>
  <c r="AD127" i="13"/>
  <c r="AD126" i="13"/>
  <c r="AD136" i="13"/>
  <c r="AF136" i="13" s="1"/>
  <c r="AD130" i="13"/>
  <c r="AD141" i="13"/>
  <c r="AG141" i="13" s="1"/>
  <c r="V135" i="5" s="1"/>
  <c r="AD140" i="13"/>
  <c r="AG140" i="13" s="1"/>
  <c r="V134" i="5" s="1"/>
  <c r="AD142" i="13"/>
  <c r="AF142" i="13" s="1"/>
  <c r="AD146" i="13"/>
  <c r="AF146" i="13" s="1"/>
  <c r="AD151" i="13"/>
  <c r="AG151" i="13" s="1"/>
  <c r="AD144" i="13"/>
  <c r="AD132" i="13"/>
  <c r="AG132" i="13" s="1"/>
  <c r="AD138" i="13"/>
  <c r="I28" i="21"/>
  <c r="H24" i="21"/>
  <c r="F139" i="21"/>
  <c r="AF139" i="21" s="1"/>
  <c r="W27" i="21"/>
  <c r="W28" i="21"/>
  <c r="P72" i="21"/>
  <c r="P73" i="21"/>
  <c r="I72" i="21"/>
  <c r="I73" i="21"/>
  <c r="P17" i="21"/>
  <c r="P18" i="21"/>
  <c r="P34" i="21"/>
  <c r="P35" i="21"/>
  <c r="P31" i="21"/>
  <c r="P32" i="21"/>
  <c r="P27" i="21"/>
  <c r="P28" i="21"/>
  <c r="H17" i="21"/>
  <c r="H35" i="21"/>
  <c r="I34" i="21"/>
  <c r="I35" i="21"/>
  <c r="P25" i="21"/>
  <c r="I29" i="21"/>
  <c r="AJ50" i="13"/>
  <c r="AJ48" i="13"/>
  <c r="AK49" i="13"/>
  <c r="BT49" i="13" s="1"/>
  <c r="AK50" i="13"/>
  <c r="BJ236" i="13"/>
  <c r="AK48" i="13"/>
  <c r="AJ49" i="13"/>
  <c r="AI48" i="13"/>
  <c r="AI49" i="13"/>
  <c r="BG236" i="13"/>
  <c r="BH236" i="13" s="1"/>
  <c r="P48" i="5" s="1"/>
  <c r="BD236" i="13"/>
  <c r="AI177" i="13"/>
  <c r="AD217" i="13"/>
  <c r="AF217" i="13" s="1"/>
  <c r="AD225" i="13"/>
  <c r="AD222" i="13"/>
  <c r="AE222" i="13" s="1"/>
  <c r="H219" i="5" s="1"/>
  <c r="AD218" i="13"/>
  <c r="AF218" i="13" s="1"/>
  <c r="AD221" i="13"/>
  <c r="AD220" i="13"/>
  <c r="AG220" i="13" s="1"/>
  <c r="V217" i="5" s="1"/>
  <c r="AD230" i="13"/>
  <c r="AF230" i="13" s="1"/>
  <c r="AD227" i="13"/>
  <c r="AE227" i="13" s="1"/>
  <c r="H224" i="5" s="1"/>
  <c r="AD224" i="13"/>
  <c r="AG224" i="13" s="1"/>
  <c r="AD226" i="13"/>
  <c r="AE226" i="13" s="1"/>
  <c r="H223" i="5" s="1"/>
  <c r="AD219" i="13"/>
  <c r="AE219" i="13" s="1"/>
  <c r="H216" i="5" s="1"/>
  <c r="AD228" i="13"/>
  <c r="AF228" i="13" s="1"/>
  <c r="C45" i="11"/>
  <c r="AD229" i="13"/>
  <c r="AF229" i="13" s="1"/>
  <c r="F228" i="5"/>
  <c r="F228" i="21" s="1"/>
  <c r="P107" i="5"/>
  <c r="P108" i="21" s="1"/>
  <c r="W109" i="21"/>
  <c r="W107" i="5"/>
  <c r="W107" i="21" s="1"/>
  <c r="P153" i="21"/>
  <c r="P151" i="5"/>
  <c r="AJ221" i="13"/>
  <c r="AJ231" i="13" s="1"/>
  <c r="P228" i="5" s="1"/>
  <c r="P228" i="21" s="1"/>
  <c r="AI221" i="13"/>
  <c r="AE221" i="13" s="1"/>
  <c r="H218" i="5" s="1"/>
  <c r="AK221" i="13"/>
  <c r="AG221" i="13" s="1"/>
  <c r="I62" i="21"/>
  <c r="I63" i="21"/>
  <c r="I159" i="21"/>
  <c r="I160" i="21"/>
  <c r="I157" i="21"/>
  <c r="AC216" i="5"/>
  <c r="I170" i="21"/>
  <c r="F107" i="16"/>
  <c r="I107" i="16" s="1"/>
  <c r="AC48" i="5"/>
  <c r="F48" i="21"/>
  <c r="AF48" i="21" s="1"/>
  <c r="AF225" i="21"/>
  <c r="P223" i="21"/>
  <c r="P226" i="21"/>
  <c r="W144" i="21"/>
  <c r="W146" i="21"/>
  <c r="F150" i="21"/>
  <c r="AF150" i="21" s="1"/>
  <c r="F151" i="21"/>
  <c r="AF151" i="21" s="1"/>
  <c r="F166" i="21"/>
  <c r="AF166" i="21" s="1"/>
  <c r="W217" i="21"/>
  <c r="I171" i="21"/>
  <c r="I176" i="21"/>
  <c r="P217" i="21"/>
  <c r="I220" i="21"/>
  <c r="I222" i="21"/>
  <c r="W216" i="21"/>
  <c r="P71" i="21"/>
  <c r="P74" i="21"/>
  <c r="I71" i="21"/>
  <c r="I74" i="21"/>
  <c r="P150" i="21"/>
  <c r="I121" i="21"/>
  <c r="I123" i="21"/>
  <c r="P216" i="21"/>
  <c r="I218" i="21"/>
  <c r="P214" i="21"/>
  <c r="W214" i="21"/>
  <c r="P121" i="21"/>
  <c r="P123" i="21"/>
  <c r="W221" i="21"/>
  <c r="W224" i="21"/>
  <c r="I219" i="21"/>
  <c r="W121" i="21"/>
  <c r="W123" i="21"/>
  <c r="P109" i="21"/>
  <c r="I173" i="21"/>
  <c r="I177" i="21"/>
  <c r="I128" i="21"/>
  <c r="I130" i="21"/>
  <c r="W150" i="21"/>
  <c r="I75" i="21"/>
  <c r="I76" i="21"/>
  <c r="P221" i="21"/>
  <c r="P224" i="21"/>
  <c r="AG114" i="13"/>
  <c r="AF114" i="13"/>
  <c r="AC198" i="5"/>
  <c r="AB44" i="21"/>
  <c r="W24" i="21"/>
  <c r="AC97" i="5"/>
  <c r="AC254" i="5" s="1"/>
  <c r="F97" i="21"/>
  <c r="AF97" i="21" s="1"/>
  <c r="AC36" i="5"/>
  <c r="F36" i="21"/>
  <c r="AF36" i="21" s="1"/>
  <c r="J38" i="21"/>
  <c r="AB68" i="21"/>
  <c r="W34" i="21"/>
  <c r="AC81" i="5"/>
  <c r="F81" i="21"/>
  <c r="AF81" i="21" s="1"/>
  <c r="AC147" i="5"/>
  <c r="AF145" i="21"/>
  <c r="AC39" i="5"/>
  <c r="F39" i="21"/>
  <c r="AF39" i="21" s="1"/>
  <c r="AC150" i="5"/>
  <c r="AC261" i="5" s="1"/>
  <c r="AF148" i="21"/>
  <c r="AC202" i="5"/>
  <c r="F199" i="21"/>
  <c r="AF199" i="21" s="1"/>
  <c r="AC47" i="5"/>
  <c r="AC238" i="5" s="1"/>
  <c r="F47" i="21"/>
  <c r="AF47" i="21" s="1"/>
  <c r="I13" i="21"/>
  <c r="AC165" i="5"/>
  <c r="AB223" i="21"/>
  <c r="BS311" i="13"/>
  <c r="AD52" i="11" s="1"/>
  <c r="I18" i="3"/>
  <c r="AE119" i="13"/>
  <c r="H113" i="5" s="1"/>
  <c r="BT298" i="13"/>
  <c r="AE39" i="11" s="1"/>
  <c r="BI296" i="13"/>
  <c r="AF120" i="13"/>
  <c r="AE120" i="13"/>
  <c r="H114" i="5" s="1"/>
  <c r="BJ91" i="13"/>
  <c r="BK91" i="13" s="1"/>
  <c r="W90" i="5" s="1"/>
  <c r="AJ213" i="13"/>
  <c r="AI213" i="13"/>
  <c r="AK213" i="13"/>
  <c r="AK178" i="13"/>
  <c r="AK177" i="13"/>
  <c r="AI178" i="13"/>
  <c r="BR177" i="13"/>
  <c r="AJ178" i="13"/>
  <c r="AJ177" i="13"/>
  <c r="BR298" i="13"/>
  <c r="AC39" i="11" s="1"/>
  <c r="AE11" i="13"/>
  <c r="H12" i="5" s="1"/>
  <c r="H12" i="21" s="1"/>
  <c r="BK312" i="13"/>
  <c r="BT306" i="13" s="1"/>
  <c r="AE47" i="11" s="1"/>
  <c r="BI300" i="13"/>
  <c r="BK310" i="13"/>
  <c r="BT305" i="13" s="1"/>
  <c r="AE46" i="11" s="1"/>
  <c r="BK300" i="13"/>
  <c r="T266" i="13"/>
  <c r="BI312" i="13"/>
  <c r="BR306" i="13" s="1"/>
  <c r="AC47" i="11" s="1"/>
  <c r="BK303" i="13"/>
  <c r="BT299" i="13" s="1"/>
  <c r="AE40" i="11" s="1"/>
  <c r="BK298" i="13"/>
  <c r="BJ307" i="13"/>
  <c r="BS302" i="13" s="1"/>
  <c r="AD43" i="11" s="1"/>
  <c r="BJ303" i="13"/>
  <c r="BS299" i="13" s="1"/>
  <c r="AD40" i="11" s="1"/>
  <c r="BK297" i="13"/>
  <c r="BT296" i="13" s="1"/>
  <c r="AE37" i="11" s="1"/>
  <c r="BI324" i="13"/>
  <c r="BR313" i="13" s="1"/>
  <c r="AC54" i="11" s="1"/>
  <c r="BJ302" i="13"/>
  <c r="BS298" i="13" s="1"/>
  <c r="AD39" i="11" s="1"/>
  <c r="BI298" i="13"/>
  <c r="BJ297" i="13"/>
  <c r="BS296" i="13" s="1"/>
  <c r="AD37" i="11" s="1"/>
  <c r="BJ319" i="13"/>
  <c r="BD91" i="13"/>
  <c r="BE91" i="13" s="1"/>
  <c r="BI303" i="13"/>
  <c r="BR299" i="13" s="1"/>
  <c r="AC40" i="11" s="1"/>
  <c r="BI297" i="13"/>
  <c r="BK318" i="13"/>
  <c r="BT311" i="13" s="1"/>
  <c r="AE52" i="11" s="1"/>
  <c r="BJ298" i="13"/>
  <c r="BJ300" i="13"/>
  <c r="BJ312" i="13"/>
  <c r="BS306" i="13" s="1"/>
  <c r="AD47" i="11" s="1"/>
  <c r="BI326" i="13"/>
  <c r="BR315" i="13" s="1"/>
  <c r="AC56" i="11" s="1"/>
  <c r="BI307" i="13"/>
  <c r="BR302" i="13" s="1"/>
  <c r="AC43" i="11" s="1"/>
  <c r="BG91" i="13"/>
  <c r="BH91" i="13" s="1"/>
  <c r="BE114" i="13"/>
  <c r="AF143" i="13"/>
  <c r="O137" i="5" s="1"/>
  <c r="AJ36" i="13"/>
  <c r="P36" i="5" s="1"/>
  <c r="P36" i="21" s="1"/>
  <c r="AE143" i="13"/>
  <c r="H137" i="5" s="1"/>
  <c r="AG229" i="13"/>
  <c r="V226" i="5" s="1"/>
  <c r="I103" i="5"/>
  <c r="I103" i="21" s="1"/>
  <c r="AK152" i="13"/>
  <c r="H41" i="11" s="1"/>
  <c r="AI36" i="13"/>
  <c r="D36" i="11" s="1"/>
  <c r="E36" i="11" s="1"/>
  <c r="K36" i="11" s="1"/>
  <c r="AD23" i="11" s="1"/>
  <c r="AJ152" i="13"/>
  <c r="F41" i="11" s="1"/>
  <c r="AD161" i="13"/>
  <c r="AE161" i="13" s="1"/>
  <c r="C42" i="11"/>
  <c r="AD195" i="13"/>
  <c r="AF195" i="13" s="1"/>
  <c r="C43" i="11"/>
  <c r="AG118" i="13"/>
  <c r="AG117" i="13" s="1"/>
  <c r="AI152" i="13"/>
  <c r="I147" i="5" s="1"/>
  <c r="I147" i="21" s="1"/>
  <c r="AK36" i="13"/>
  <c r="W36" i="5" s="1"/>
  <c r="W36" i="21" s="1"/>
  <c r="AE116" i="13"/>
  <c r="AE115" i="13" s="1"/>
  <c r="AG116" i="13"/>
  <c r="AG115" i="13" s="1"/>
  <c r="AD157" i="13"/>
  <c r="AE157" i="13" s="1"/>
  <c r="H153" i="5" s="1"/>
  <c r="AD164" i="13"/>
  <c r="AD158" i="13"/>
  <c r="AE158" i="13" s="1"/>
  <c r="H154" i="5" s="1"/>
  <c r="F194" i="5"/>
  <c r="AD165" i="13"/>
  <c r="AE165" i="13" s="1"/>
  <c r="AD163" i="13"/>
  <c r="AE163" i="13" s="1"/>
  <c r="AD194" i="13"/>
  <c r="AF194" i="13" s="1"/>
  <c r="AD159" i="13"/>
  <c r="AD160" i="13"/>
  <c r="AD155" i="13"/>
  <c r="AD162" i="13"/>
  <c r="AD187" i="13"/>
  <c r="AD181" i="13"/>
  <c r="AF181" i="13" s="1"/>
  <c r="AD193" i="13"/>
  <c r="AD156" i="13"/>
  <c r="AG156" i="13" s="1"/>
  <c r="V151" i="5" s="1"/>
  <c r="BH163" i="13"/>
  <c r="P159" i="5" s="1"/>
  <c r="BR311" i="13"/>
  <c r="AC52" i="11" s="1"/>
  <c r="BK73" i="13"/>
  <c r="W72" i="5" s="1"/>
  <c r="BT313" i="13"/>
  <c r="AE54" i="11" s="1"/>
  <c r="BJ310" i="13"/>
  <c r="BS305" i="13" s="1"/>
  <c r="AD46" i="11" s="1"/>
  <c r="P103" i="5"/>
  <c r="P103" i="21" s="1"/>
  <c r="F207" i="5"/>
  <c r="F207" i="21" s="1"/>
  <c r="AJ208" i="13"/>
  <c r="AI208" i="13"/>
  <c r="AK208" i="13"/>
  <c r="AG122" i="13"/>
  <c r="AG121" i="13" s="1"/>
  <c r="AE122" i="13"/>
  <c r="AE121" i="13" s="1"/>
  <c r="BK173" i="13"/>
  <c r="W170" i="5" s="1"/>
  <c r="W171" i="21" s="1"/>
  <c r="BH173" i="13"/>
  <c r="P170" i="5" s="1"/>
  <c r="P171" i="21" s="1"/>
  <c r="BH181" i="13"/>
  <c r="P178" i="5" s="1"/>
  <c r="P179" i="21" s="1"/>
  <c r="BE181" i="13"/>
  <c r="I178" i="5" s="1"/>
  <c r="I179" i="21" s="1"/>
  <c r="BI327" i="13"/>
  <c r="BR316" i="13" s="1"/>
  <c r="AC57" i="11" s="1"/>
  <c r="BK181" i="13"/>
  <c r="W178" i="5" s="1"/>
  <c r="W179" i="21" s="1"/>
  <c r="BK327" i="13"/>
  <c r="BT316" i="13" s="1"/>
  <c r="AE57" i="11" s="1"/>
  <c r="AF118" i="13"/>
  <c r="O112" i="5" s="1"/>
  <c r="F205" i="5"/>
  <c r="F206" i="21" s="1"/>
  <c r="AF206" i="21" s="1"/>
  <c r="F89" i="16"/>
  <c r="I89" i="16" s="1"/>
  <c r="AF119" i="13"/>
  <c r="V113" i="5" s="1"/>
  <c r="AD123" i="13"/>
  <c r="AD190" i="13"/>
  <c r="AD183" i="13"/>
  <c r="AD170" i="13"/>
  <c r="AF170" i="13" s="1"/>
  <c r="AF169" i="13" s="1"/>
  <c r="AD169" i="13"/>
  <c r="AD171" i="13"/>
  <c r="AD186" i="13"/>
  <c r="AF186" i="13" s="1"/>
  <c r="AD174" i="13"/>
  <c r="AF174" i="13" s="1"/>
  <c r="AD192" i="13"/>
  <c r="AD180" i="13"/>
  <c r="AD184" i="13"/>
  <c r="AD176" i="13"/>
  <c r="AF176" i="13" s="1"/>
  <c r="AD179" i="13"/>
  <c r="AD175" i="13"/>
  <c r="AD173" i="13"/>
  <c r="AG173" i="13" s="1"/>
  <c r="AD177" i="13"/>
  <c r="AD172" i="13"/>
  <c r="AD188" i="13"/>
  <c r="AF188" i="13" s="1"/>
  <c r="AF187" i="13" s="1"/>
  <c r="AD196" i="13"/>
  <c r="AF196" i="13" s="1"/>
  <c r="AD191" i="13"/>
  <c r="AG191" i="13" s="1"/>
  <c r="AG189" i="13" s="1"/>
  <c r="AD182" i="13"/>
  <c r="AE182" i="13" s="1"/>
  <c r="H179" i="5" s="1"/>
  <c r="AD189" i="13"/>
  <c r="AD178" i="13"/>
  <c r="AD185" i="13"/>
  <c r="AG185" i="13" s="1"/>
  <c r="AB211" i="13"/>
  <c r="I16" i="3" s="1"/>
  <c r="V114" i="5"/>
  <c r="W154" i="5"/>
  <c r="W154" i="21" s="1"/>
  <c r="P154" i="5"/>
  <c r="P154" i="21" s="1"/>
  <c r="BE24" i="13"/>
  <c r="I26" i="5" s="1"/>
  <c r="I26" i="21" s="1"/>
  <c r="F210" i="5"/>
  <c r="F210" i="21" s="1"/>
  <c r="AF210" i="21" s="1"/>
  <c r="AE147" i="13"/>
  <c r="H142" i="5" s="1"/>
  <c r="AG147" i="13"/>
  <c r="V142" i="5" s="1"/>
  <c r="AE137" i="13"/>
  <c r="H131" i="5" s="1"/>
  <c r="AF137" i="13"/>
  <c r="AG145" i="13"/>
  <c r="AG136" i="13"/>
  <c r="V130" i="5" s="1"/>
  <c r="AD45" i="13"/>
  <c r="AG45" i="13" s="1"/>
  <c r="AD40" i="13"/>
  <c r="Z211" i="13"/>
  <c r="F83" i="16"/>
  <c r="I83" i="16" s="1"/>
  <c r="AD39" i="13"/>
  <c r="AD46" i="13"/>
  <c r="AD44" i="13"/>
  <c r="AG44" i="13" s="1"/>
  <c r="AD42" i="13"/>
  <c r="AF42" i="13" s="1"/>
  <c r="F64" i="5"/>
  <c r="F64" i="21" s="1"/>
  <c r="AF64" i="21" s="1"/>
  <c r="AD55" i="13"/>
  <c r="AD53" i="13"/>
  <c r="AG53" i="13" s="1"/>
  <c r="AD50" i="13"/>
  <c r="AD51" i="13"/>
  <c r="AD54" i="13"/>
  <c r="AF54" i="13" s="1"/>
  <c r="AD62" i="13"/>
  <c r="AD59" i="13"/>
  <c r="AD64" i="13"/>
  <c r="AG64" i="13" s="1"/>
  <c r="AD56" i="13"/>
  <c r="AD48" i="13"/>
  <c r="AD58" i="13"/>
  <c r="AE58" i="13" s="1"/>
  <c r="H58" i="5" s="1"/>
  <c r="H58" i="21" s="1"/>
  <c r="AD63" i="13"/>
  <c r="AD49" i="13"/>
  <c r="AD43" i="13"/>
  <c r="AG43" i="13" s="1"/>
  <c r="AD60" i="13"/>
  <c r="AE60" i="13" s="1"/>
  <c r="H60" i="5" s="1"/>
  <c r="AB203" i="13"/>
  <c r="AD41" i="13"/>
  <c r="AG41" i="13" s="1"/>
  <c r="AD57" i="13"/>
  <c r="AB202" i="13"/>
  <c r="AD61" i="13"/>
  <c r="AE61" i="13" s="1"/>
  <c r="H61" i="5" s="1"/>
  <c r="AD65" i="13"/>
  <c r="AD47" i="13"/>
  <c r="AD52" i="13"/>
  <c r="AE52" i="13" s="1"/>
  <c r="H53" i="5" s="1"/>
  <c r="AG150" i="13"/>
  <c r="AF150" i="13"/>
  <c r="AE133" i="13"/>
  <c r="H127" i="5" s="1"/>
  <c r="AG133" i="13"/>
  <c r="V127" i="5" s="1"/>
  <c r="AE129" i="13"/>
  <c r="H123" i="5" s="1"/>
  <c r="AF129" i="13"/>
  <c r="AG149" i="13"/>
  <c r="AF149" i="13"/>
  <c r="AF132" i="13"/>
  <c r="AE132" i="13"/>
  <c r="H126" i="5" s="1"/>
  <c r="BK243" i="13"/>
  <c r="W173" i="5" s="1"/>
  <c r="BH243" i="13"/>
  <c r="P173" i="5" s="1"/>
  <c r="F26" i="16"/>
  <c r="I26" i="16" s="1"/>
  <c r="AE13" i="13"/>
  <c r="H15" i="5" s="1"/>
  <c r="H15" i="21" s="1"/>
  <c r="AF13" i="13"/>
  <c r="AG11" i="13"/>
  <c r="V12" i="5" s="1"/>
  <c r="V12" i="21" s="1"/>
  <c r="AF25" i="13"/>
  <c r="AG24" i="13"/>
  <c r="AE24" i="13"/>
  <c r="H26" i="5" s="1"/>
  <c r="AF24" i="13"/>
  <c r="AE23" i="13"/>
  <c r="H25" i="5" s="1"/>
  <c r="H25" i="21" s="1"/>
  <c r="AF23" i="13"/>
  <c r="AG23" i="13"/>
  <c r="H27" i="5"/>
  <c r="AE28" i="13"/>
  <c r="H30" i="5" s="1"/>
  <c r="H31" i="21" s="1"/>
  <c r="AF57" i="13"/>
  <c r="AE57" i="13"/>
  <c r="AG57" i="13"/>
  <c r="AG47" i="13"/>
  <c r="AE47" i="13"/>
  <c r="AF47" i="13"/>
  <c r="AG21" i="13"/>
  <c r="AF14" i="13"/>
  <c r="AG14" i="13"/>
  <c r="AF21" i="13"/>
  <c r="AF32" i="13"/>
  <c r="AG32" i="13"/>
  <c r="AE20" i="13"/>
  <c r="H22" i="5" s="1"/>
  <c r="AG31" i="13"/>
  <c r="V33" i="5" s="1"/>
  <c r="AE31" i="13"/>
  <c r="H33" i="5" s="1"/>
  <c r="AG15" i="13"/>
  <c r="AG22" i="13"/>
  <c r="AF15" i="13"/>
  <c r="AF22" i="13"/>
  <c r="O24" i="5" s="1"/>
  <c r="AG33" i="13"/>
  <c r="AF33" i="13"/>
  <c r="AG25" i="13"/>
  <c r="AF28" i="13"/>
  <c r="AF17" i="13"/>
  <c r="AG12" i="13"/>
  <c r="AG17" i="13"/>
  <c r="AG18" i="13"/>
  <c r="V20" i="5" s="1"/>
  <c r="AE18" i="13"/>
  <c r="H20" i="5" s="1"/>
  <c r="H20" i="21" s="1"/>
  <c r="AG20" i="13"/>
  <c r="V22" i="5" s="1"/>
  <c r="AF12" i="13"/>
  <c r="AF27" i="13"/>
  <c r="V29" i="5" s="1"/>
  <c r="AE27" i="13"/>
  <c r="H29" i="5" s="1"/>
  <c r="AG29" i="13"/>
  <c r="AF29" i="13"/>
  <c r="AD36" i="13"/>
  <c r="AF115" i="13"/>
  <c r="H112" i="5"/>
  <c r="AF121" i="13"/>
  <c r="O130" i="5"/>
  <c r="I43" i="16"/>
  <c r="F49" i="16"/>
  <c r="I49" i="16" s="1"/>
  <c r="H140" i="5"/>
  <c r="AD105" i="13"/>
  <c r="AD100" i="13"/>
  <c r="AD109" i="13"/>
  <c r="AD107" i="13"/>
  <c r="AD106" i="13"/>
  <c r="AD108" i="13"/>
  <c r="AD104" i="13"/>
  <c r="AD103" i="13"/>
  <c r="AD102" i="13"/>
  <c r="AD101" i="13"/>
  <c r="F103" i="5"/>
  <c r="G39" i="11"/>
  <c r="L39" i="11" s="1"/>
  <c r="AE26" i="11" s="1"/>
  <c r="H39" i="11"/>
  <c r="AE113" i="13"/>
  <c r="BE219" i="13"/>
  <c r="I216" i="5" s="1"/>
  <c r="BE217" i="13"/>
  <c r="I214" i="5" s="1"/>
  <c r="I215" i="21" s="1"/>
  <c r="BE229" i="13"/>
  <c r="I226" i="5" s="1"/>
  <c r="I227" i="21" s="1"/>
  <c r="BE227" i="13"/>
  <c r="I224" i="5" s="1"/>
  <c r="I225" i="21" s="1"/>
  <c r="AG218" i="13"/>
  <c r="AE223" i="13"/>
  <c r="H220" i="5" s="1"/>
  <c r="AG223" i="13"/>
  <c r="AF223" i="13"/>
  <c r="AE225" i="13"/>
  <c r="H222" i="5" s="1"/>
  <c r="AG225" i="13"/>
  <c r="AF225" i="13"/>
  <c r="AG217" i="13"/>
  <c r="V214" i="5" s="1"/>
  <c r="AE217" i="13"/>
  <c r="O12" i="5"/>
  <c r="O12" i="21" s="1"/>
  <c r="K11" i="21"/>
  <c r="AG142" i="13" l="1"/>
  <c r="V136" i="5" s="1"/>
  <c r="AE142" i="13"/>
  <c r="H136" i="5" s="1"/>
  <c r="H136" i="21" s="1"/>
  <c r="AG146" i="13"/>
  <c r="V141" i="5" s="1"/>
  <c r="AG128" i="13"/>
  <c r="V122" i="5" s="1"/>
  <c r="AE151" i="13"/>
  <c r="H146" i="5" s="1"/>
  <c r="H146" i="21" s="1"/>
  <c r="AD152" i="13"/>
  <c r="AG222" i="13"/>
  <c r="AE146" i="13"/>
  <c r="H141" i="5" s="1"/>
  <c r="H145" i="21"/>
  <c r="V126" i="5"/>
  <c r="V126" i="21" s="1"/>
  <c r="AE136" i="13"/>
  <c r="H130" i="5" s="1"/>
  <c r="H130" i="21" s="1"/>
  <c r="AE140" i="13"/>
  <c r="H134" i="5" s="1"/>
  <c r="AF145" i="13"/>
  <c r="AF144" i="13" s="1"/>
  <c r="G41" i="11"/>
  <c r="L41" i="11" s="1"/>
  <c r="AE28" i="11" s="1"/>
  <c r="AF220" i="13"/>
  <c r="AE220" i="13"/>
  <c r="H217" i="5" s="1"/>
  <c r="H217" i="21" s="1"/>
  <c r="AE230" i="13"/>
  <c r="H227" i="5" s="1"/>
  <c r="H227" i="21" s="1"/>
  <c r="AE218" i="13"/>
  <c r="H215" i="5" s="1"/>
  <c r="AF140" i="13"/>
  <c r="O134" i="5" s="1"/>
  <c r="AG230" i="13"/>
  <c r="V227" i="5" s="1"/>
  <c r="V227" i="21" s="1"/>
  <c r="AF141" i="13"/>
  <c r="O135" i="5" s="1"/>
  <c r="I41" i="11"/>
  <c r="M41" i="11" s="1"/>
  <c r="AF28" i="11" s="1"/>
  <c r="AE141" i="13"/>
  <c r="H135" i="5" s="1"/>
  <c r="AF151" i="13"/>
  <c r="O146" i="5" s="1"/>
  <c r="AE128" i="13"/>
  <c r="H122" i="5" s="1"/>
  <c r="H122" i="21" s="1"/>
  <c r="AE229" i="13"/>
  <c r="H226" i="5" s="1"/>
  <c r="H26" i="21"/>
  <c r="AF222" i="13"/>
  <c r="O219" i="5" s="1"/>
  <c r="AC228" i="5"/>
  <c r="I27" i="21"/>
  <c r="H16" i="21"/>
  <c r="W72" i="21"/>
  <c r="W73" i="21"/>
  <c r="H34" i="21"/>
  <c r="H30" i="21"/>
  <c r="H27" i="21"/>
  <c r="P173" i="21"/>
  <c r="P174" i="21"/>
  <c r="H23" i="21"/>
  <c r="W173" i="21"/>
  <c r="W174" i="21"/>
  <c r="M59" i="11"/>
  <c r="K59" i="11"/>
  <c r="BR49" i="13"/>
  <c r="L59" i="11"/>
  <c r="BS49" i="13"/>
  <c r="AF227" i="13"/>
  <c r="O224" i="5" s="1"/>
  <c r="AG227" i="13"/>
  <c r="V224" i="5" s="1"/>
  <c r="AG226" i="13"/>
  <c r="V223" i="5" s="1"/>
  <c r="AF221" i="13"/>
  <c r="O218" i="5" s="1"/>
  <c r="AF226" i="13"/>
  <c r="O223" i="5" s="1"/>
  <c r="AI231" i="13"/>
  <c r="D45" i="11" s="1"/>
  <c r="E45" i="11" s="1"/>
  <c r="K45" i="11" s="1"/>
  <c r="AD32" i="11" s="1"/>
  <c r="AG219" i="13"/>
  <c r="V216" i="5" s="1"/>
  <c r="AK231" i="13"/>
  <c r="W228" i="5" s="1"/>
  <c r="W228" i="21" s="1"/>
  <c r="AF219" i="13"/>
  <c r="O216" i="5" s="1"/>
  <c r="AE224" i="13"/>
  <c r="H221" i="5" s="1"/>
  <c r="H221" i="21" s="1"/>
  <c r="AF224" i="13"/>
  <c r="V221" i="5" s="1"/>
  <c r="AD231" i="13"/>
  <c r="AE228" i="13"/>
  <c r="H225" i="5" s="1"/>
  <c r="H225" i="21" s="1"/>
  <c r="AG228" i="13"/>
  <c r="P107" i="21"/>
  <c r="BT177" i="13"/>
  <c r="BS177" i="13"/>
  <c r="BR178" i="13"/>
  <c r="H61" i="21"/>
  <c r="I107" i="5"/>
  <c r="I108" i="21" s="1"/>
  <c r="O107" i="5"/>
  <c r="AG113" i="13"/>
  <c r="V106" i="5" s="1"/>
  <c r="V106" i="21" s="1"/>
  <c r="V107" i="5"/>
  <c r="W108" i="21"/>
  <c r="P48" i="21"/>
  <c r="P49" i="21"/>
  <c r="P159" i="21"/>
  <c r="P160" i="21"/>
  <c r="H154" i="21"/>
  <c r="H155" i="21"/>
  <c r="AF165" i="13"/>
  <c r="AF164" i="13" s="1"/>
  <c r="BJ305" i="13"/>
  <c r="AD41" i="11"/>
  <c r="AG48" i="13"/>
  <c r="V13" i="5"/>
  <c r="V13" i="21" s="1"/>
  <c r="O114" i="5"/>
  <c r="AG165" i="13"/>
  <c r="AG164" i="13" s="1"/>
  <c r="AG50" i="13"/>
  <c r="AG49" i="13"/>
  <c r="V134" i="21"/>
  <c r="AI46" i="13"/>
  <c r="AI66" i="13" s="1"/>
  <c r="I64" i="5" s="1"/>
  <c r="I64" i="21" s="1"/>
  <c r="BE236" i="13"/>
  <c r="BI305" i="13"/>
  <c r="BJ49" i="13"/>
  <c r="BK236" i="13"/>
  <c r="W48" i="5" s="1"/>
  <c r="BK305" i="13"/>
  <c r="AK46" i="13"/>
  <c r="AK66" i="13" s="1"/>
  <c r="H37" i="11" s="1"/>
  <c r="I37" i="11" s="1"/>
  <c r="M37" i="11" s="1"/>
  <c r="AF24" i="11" s="1"/>
  <c r="BG49" i="13"/>
  <c r="AJ46" i="13"/>
  <c r="AJ66" i="13" s="1"/>
  <c r="P64" i="5" s="1"/>
  <c r="P64" i="21" s="1"/>
  <c r="BD49" i="13"/>
  <c r="AF191" i="21"/>
  <c r="F194" i="21"/>
  <c r="I223" i="21"/>
  <c r="I226" i="21"/>
  <c r="AF113" i="13"/>
  <c r="O106" i="5" s="1"/>
  <c r="O106" i="21" s="1"/>
  <c r="AF195" i="21"/>
  <c r="I217" i="21"/>
  <c r="H219" i="21"/>
  <c r="V214" i="21"/>
  <c r="H218" i="21"/>
  <c r="H220" i="21"/>
  <c r="H216" i="21"/>
  <c r="I151" i="21"/>
  <c r="W167" i="21"/>
  <c r="W170" i="21"/>
  <c r="H126" i="21"/>
  <c r="H113" i="21"/>
  <c r="H224" i="21"/>
  <c r="P151" i="21"/>
  <c r="P167" i="21"/>
  <c r="P170" i="21"/>
  <c r="I221" i="21"/>
  <c r="I224" i="21"/>
  <c r="W71" i="21"/>
  <c r="W74" i="21"/>
  <c r="I216" i="21"/>
  <c r="H142" i="21"/>
  <c r="W151" i="21"/>
  <c r="I214" i="21"/>
  <c r="H140" i="21"/>
  <c r="V136" i="21"/>
  <c r="W175" i="21"/>
  <c r="W178" i="21"/>
  <c r="H223" i="21"/>
  <c r="I109" i="21"/>
  <c r="V135" i="21"/>
  <c r="I175" i="21"/>
  <c r="I178" i="21"/>
  <c r="P175" i="21"/>
  <c r="P178" i="21"/>
  <c r="W90" i="21"/>
  <c r="W91" i="21"/>
  <c r="AE117" i="13"/>
  <c r="BR296" i="13"/>
  <c r="AC37" i="11" s="1"/>
  <c r="AC205" i="5"/>
  <c r="AC210" i="5"/>
  <c r="AF207" i="21"/>
  <c r="AC207" i="5"/>
  <c r="F204" i="21"/>
  <c r="AF204" i="21" s="1"/>
  <c r="AC103" i="5"/>
  <c r="F103" i="21"/>
  <c r="AF103" i="21" s="1"/>
  <c r="BK308" i="13"/>
  <c r="BT303" i="13" s="1"/>
  <c r="AB195" i="21"/>
  <c r="AB147" i="21"/>
  <c r="AB99" i="21"/>
  <c r="AF64" i="13"/>
  <c r="AF63" i="13" s="1"/>
  <c r="BR297" i="13"/>
  <c r="AC38" i="11" s="1"/>
  <c r="I36" i="5"/>
  <c r="I36" i="21" s="1"/>
  <c r="AG161" i="13"/>
  <c r="V157" i="5" s="1"/>
  <c r="I27" i="3"/>
  <c r="AE156" i="13"/>
  <c r="AF158" i="13"/>
  <c r="O154" i="5" s="1"/>
  <c r="AG158" i="13"/>
  <c r="V154" i="5" s="1"/>
  <c r="AF163" i="13"/>
  <c r="AF162" i="13" s="1"/>
  <c r="AE64" i="13"/>
  <c r="AE63" i="13" s="1"/>
  <c r="AG163" i="13"/>
  <c r="AG162" i="13" s="1"/>
  <c r="F36" i="11"/>
  <c r="G36" i="11" s="1"/>
  <c r="L36" i="11" s="1"/>
  <c r="AE23" i="11" s="1"/>
  <c r="AC194" i="5"/>
  <c r="AF156" i="13"/>
  <c r="AF161" i="13"/>
  <c r="AF160" i="13" s="1"/>
  <c r="AG194" i="13"/>
  <c r="V191" i="5" s="1"/>
  <c r="V191" i="21" s="1"/>
  <c r="P147" i="5"/>
  <c r="P147" i="21" s="1"/>
  <c r="AJ202" i="13"/>
  <c r="AI202" i="13"/>
  <c r="AK202" i="13"/>
  <c r="BK326" i="13"/>
  <c r="BT315" i="13" s="1"/>
  <c r="AE56" i="11" s="1"/>
  <c r="AK203" i="13"/>
  <c r="AJ203" i="13"/>
  <c r="AI203" i="13"/>
  <c r="BT297" i="13"/>
  <c r="AE38" i="11" s="1"/>
  <c r="BJ324" i="13"/>
  <c r="BS313" i="13" s="1"/>
  <c r="AD54" i="11" s="1"/>
  <c r="O35" i="5"/>
  <c r="O214" i="5"/>
  <c r="O222" i="5"/>
  <c r="O144" i="5"/>
  <c r="O116" i="5"/>
  <c r="BJ326" i="13"/>
  <c r="BS315" i="13" s="1"/>
  <c r="AD56" i="11" s="1"/>
  <c r="O34" i="5"/>
  <c r="O23" i="5"/>
  <c r="O24" i="21" s="1"/>
  <c r="AE194" i="13"/>
  <c r="H191" i="5" s="1"/>
  <c r="H191" i="21" s="1"/>
  <c r="BS297" i="13"/>
  <c r="AD38" i="11" s="1"/>
  <c r="O27" i="5"/>
  <c r="O191" i="5"/>
  <c r="O191" i="21" s="1"/>
  <c r="O19" i="5"/>
  <c r="BJ327" i="13"/>
  <c r="BS316" i="13" s="1"/>
  <c r="AD57" i="11" s="1"/>
  <c r="BK307" i="13"/>
  <c r="BT302" i="13" s="1"/>
  <c r="AE43" i="11" s="1"/>
  <c r="O31" i="5"/>
  <c r="O145" i="5"/>
  <c r="BI310" i="13"/>
  <c r="BR305" i="13" s="1"/>
  <c r="AC46" i="11" s="1"/>
  <c r="O13" i="5"/>
  <c r="O13" i="21" s="1"/>
  <c r="O17" i="5"/>
  <c r="O16" i="5"/>
  <c r="P90" i="5"/>
  <c r="BJ308" i="13"/>
  <c r="BS303" i="13" s="1"/>
  <c r="I90" i="5"/>
  <c r="BI308" i="13"/>
  <c r="BR303" i="13" s="1"/>
  <c r="AF44" i="11" s="1"/>
  <c r="H110" i="5"/>
  <c r="AE181" i="13"/>
  <c r="H178" i="5" s="1"/>
  <c r="AG157" i="13"/>
  <c r="W147" i="5"/>
  <c r="W147" i="21" s="1"/>
  <c r="AF192" i="13"/>
  <c r="AG195" i="13"/>
  <c r="V192" i="5" s="1"/>
  <c r="AE195" i="13"/>
  <c r="H192" i="5" s="1"/>
  <c r="F45" i="11"/>
  <c r="G45" i="11" s="1"/>
  <c r="L45" i="11" s="1"/>
  <c r="AE32" i="11" s="1"/>
  <c r="O113" i="5"/>
  <c r="O113" i="21" s="1"/>
  <c r="V112" i="5"/>
  <c r="V113" i="21" s="1"/>
  <c r="D41" i="11"/>
  <c r="E41" i="11" s="1"/>
  <c r="K41" i="11" s="1"/>
  <c r="AD28" i="11" s="1"/>
  <c r="H36" i="11"/>
  <c r="I36" i="11" s="1"/>
  <c r="M36" i="11" s="1"/>
  <c r="AF23" i="11" s="1"/>
  <c r="O26" i="5"/>
  <c r="V144" i="5"/>
  <c r="V142" i="21" s="1"/>
  <c r="O226" i="5"/>
  <c r="O136" i="5"/>
  <c r="AD166" i="13"/>
  <c r="O110" i="5"/>
  <c r="O126" i="5"/>
  <c r="V219" i="5"/>
  <c r="O22" i="5"/>
  <c r="O131" i="5"/>
  <c r="V110" i="5"/>
  <c r="AF157" i="13"/>
  <c r="O153" i="5" s="1"/>
  <c r="AG181" i="13"/>
  <c r="V178" i="5" s="1"/>
  <c r="AG188" i="13"/>
  <c r="V185" i="5" s="1"/>
  <c r="AE188" i="13"/>
  <c r="AE187" i="13" s="1"/>
  <c r="H184" i="5" s="1"/>
  <c r="AF185" i="13"/>
  <c r="V182" i="5" s="1"/>
  <c r="AE185" i="13"/>
  <c r="H182" i="5" s="1"/>
  <c r="AG186" i="13"/>
  <c r="V183" i="5" s="1"/>
  <c r="AE186" i="13"/>
  <c r="H183" i="5" s="1"/>
  <c r="AG196" i="13"/>
  <c r="V193" i="5" s="1"/>
  <c r="AE196" i="13"/>
  <c r="H193" i="5" s="1"/>
  <c r="V116" i="5"/>
  <c r="AE178" i="13"/>
  <c r="H175" i="5" s="1"/>
  <c r="AF182" i="13"/>
  <c r="AF179" i="13" s="1"/>
  <c r="AK211" i="13"/>
  <c r="AJ211" i="13"/>
  <c r="AI211" i="13"/>
  <c r="AG182" i="13"/>
  <c r="V179" i="5" s="1"/>
  <c r="H116" i="5"/>
  <c r="AG177" i="13"/>
  <c r="AE174" i="13"/>
  <c r="H171" i="5" s="1"/>
  <c r="AF191" i="13"/>
  <c r="AF189" i="13" s="1"/>
  <c r="AG138" i="13"/>
  <c r="V132" i="5" s="1"/>
  <c r="AG174" i="13"/>
  <c r="V171" i="5" s="1"/>
  <c r="AF117" i="13"/>
  <c r="O111" i="5" s="1"/>
  <c r="BK322" i="13"/>
  <c r="BT312" i="13" s="1"/>
  <c r="AE53" i="11" s="1"/>
  <c r="BJ322" i="13"/>
  <c r="BS312" i="13" s="1"/>
  <c r="AD53" i="11" s="1"/>
  <c r="AE170" i="13"/>
  <c r="AE169" i="13" s="1"/>
  <c r="H165" i="5" s="1"/>
  <c r="F90" i="16"/>
  <c r="I90" i="16" s="1"/>
  <c r="F208" i="5"/>
  <c r="AE173" i="13"/>
  <c r="H170" i="5" s="1"/>
  <c r="AG170" i="13"/>
  <c r="V166" i="5" s="1"/>
  <c r="AF173" i="13"/>
  <c r="AE191" i="13"/>
  <c r="AE189" i="13" s="1"/>
  <c r="H186" i="5" s="1"/>
  <c r="AD197" i="13"/>
  <c r="F200" i="5"/>
  <c r="O220" i="5"/>
  <c r="V111" i="5"/>
  <c r="V140" i="5"/>
  <c r="V109" i="5"/>
  <c r="V35" i="5"/>
  <c r="O225" i="5"/>
  <c r="O178" i="5"/>
  <c r="AF44" i="13"/>
  <c r="V45" i="5" s="1"/>
  <c r="O33" i="5"/>
  <c r="O215" i="5"/>
  <c r="V222" i="5"/>
  <c r="V26" i="5"/>
  <c r="V31" i="5"/>
  <c r="O127" i="5"/>
  <c r="V145" i="5"/>
  <c r="V24" i="5"/>
  <c r="V23" i="5"/>
  <c r="V23" i="21" s="1"/>
  <c r="O25" i="5"/>
  <c r="O25" i="21" s="1"/>
  <c r="O123" i="5"/>
  <c r="V19" i="5"/>
  <c r="V20" i="21" s="1"/>
  <c r="O217" i="5"/>
  <c r="V131" i="5"/>
  <c r="V220" i="5"/>
  <c r="V17" i="5"/>
  <c r="V170" i="5"/>
  <c r="V218" i="5"/>
  <c r="O20" i="5"/>
  <c r="O20" i="21" s="1"/>
  <c r="V146" i="5"/>
  <c r="O142" i="5"/>
  <c r="V215" i="5"/>
  <c r="O30" i="5"/>
  <c r="O227" i="5"/>
  <c r="AG42" i="13"/>
  <c r="V43" i="5" s="1"/>
  <c r="AF48" i="13"/>
  <c r="O141" i="5"/>
  <c r="O109" i="5"/>
  <c r="O29" i="5"/>
  <c r="AE48" i="13"/>
  <c r="H49" i="5" s="1"/>
  <c r="H49" i="21" s="1"/>
  <c r="O122" i="5"/>
  <c r="V123" i="5"/>
  <c r="V34" i="5"/>
  <c r="V34" i="21" s="1"/>
  <c r="O15" i="5"/>
  <c r="O15" i="21" s="1"/>
  <c r="O193" i="5"/>
  <c r="V15" i="5"/>
  <c r="V15" i="21" s="1"/>
  <c r="V30" i="5"/>
  <c r="V30" i="21" s="1"/>
  <c r="AF134" i="13"/>
  <c r="AG134" i="13"/>
  <c r="AG178" i="13"/>
  <c r="BT178" i="13"/>
  <c r="AF178" i="13"/>
  <c r="BS178" i="13"/>
  <c r="AE53" i="13"/>
  <c r="H54" i="5" s="1"/>
  <c r="H54" i="21" s="1"/>
  <c r="AF49" i="13"/>
  <c r="AF53" i="13"/>
  <c r="AE49" i="13"/>
  <c r="H50" i="5" s="1"/>
  <c r="AF52" i="13"/>
  <c r="AE44" i="13"/>
  <c r="H45" i="5" s="1"/>
  <c r="AE45" i="13"/>
  <c r="H46" i="5" s="1"/>
  <c r="AF45" i="13"/>
  <c r="AE50" i="13"/>
  <c r="H51" i="5" s="1"/>
  <c r="F201" i="5"/>
  <c r="AD66" i="13"/>
  <c r="AG60" i="13"/>
  <c r="AF60" i="13"/>
  <c r="AE41" i="13"/>
  <c r="H42" i="5" s="1"/>
  <c r="H42" i="21" s="1"/>
  <c r="AF41" i="13"/>
  <c r="AB200" i="13"/>
  <c r="AE42" i="13"/>
  <c r="H43" i="5" s="1"/>
  <c r="AG130" i="13"/>
  <c r="V124" i="5" s="1"/>
  <c r="AE130" i="13"/>
  <c r="AF130" i="13"/>
  <c r="O124" i="5" s="1"/>
  <c r="AC64" i="5"/>
  <c r="AF61" i="13"/>
  <c r="O61" i="5" s="1"/>
  <c r="AE56" i="13"/>
  <c r="AG58" i="13"/>
  <c r="AF58" i="13"/>
  <c r="AG61" i="13"/>
  <c r="AE54" i="13"/>
  <c r="H55" i="5" s="1"/>
  <c r="AG54" i="13"/>
  <c r="V55" i="5" s="1"/>
  <c r="AG52" i="13"/>
  <c r="AF50" i="13"/>
  <c r="AE43" i="13"/>
  <c r="H44" i="5" s="1"/>
  <c r="AF43" i="13"/>
  <c r="AE59" i="13"/>
  <c r="AG144" i="13"/>
  <c r="V138" i="5" s="1"/>
  <c r="V137" i="21" s="1"/>
  <c r="AG126" i="13"/>
  <c r="Z200" i="13"/>
  <c r="AF126" i="13"/>
  <c r="AG148" i="13"/>
  <c r="AE148" i="13"/>
  <c r="H143" i="5" s="1"/>
  <c r="H144" i="21" s="1"/>
  <c r="AK175" i="13"/>
  <c r="AK197" i="13" s="1"/>
  <c r="AE177" i="13"/>
  <c r="H174" i="5" s="1"/>
  <c r="H174" i="21" s="1"/>
  <c r="AI175" i="13"/>
  <c r="AI197" i="13" s="1"/>
  <c r="AJ175" i="13"/>
  <c r="AJ197" i="13" s="1"/>
  <c r="AF177" i="13"/>
  <c r="V16" i="5"/>
  <c r="V16" i="21" s="1"/>
  <c r="AE10" i="13"/>
  <c r="H11" i="5" s="1"/>
  <c r="V25" i="5"/>
  <c r="V27" i="5"/>
  <c r="V27" i="21" s="1"/>
  <c r="AE162" i="13"/>
  <c r="H159" i="5"/>
  <c r="AF104" i="13"/>
  <c r="AG104" i="13"/>
  <c r="AE104" i="13"/>
  <c r="AF16" i="13"/>
  <c r="AE30" i="13"/>
  <c r="H32" i="5" s="1"/>
  <c r="H32" i="21" s="1"/>
  <c r="AG63" i="13"/>
  <c r="V63" i="5"/>
  <c r="AE19" i="13"/>
  <c r="H21" i="5" s="1"/>
  <c r="H21" i="21" s="1"/>
  <c r="AG30" i="13"/>
  <c r="AG10" i="13"/>
  <c r="AE26" i="13"/>
  <c r="H28" i="5" s="1"/>
  <c r="H28" i="21" s="1"/>
  <c r="AF19" i="13"/>
  <c r="AG16" i="13"/>
  <c r="AE16" i="13"/>
  <c r="H18" i="5" s="1"/>
  <c r="AG26" i="13"/>
  <c r="AF30" i="13"/>
  <c r="AG19" i="13"/>
  <c r="AF10" i="13"/>
  <c r="AF26" i="13"/>
  <c r="I39" i="11"/>
  <c r="M39" i="11" s="1"/>
  <c r="AF26" i="11" s="1"/>
  <c r="E39" i="11"/>
  <c r="K39" i="11" s="1"/>
  <c r="AD26" i="11" s="1"/>
  <c r="AD110" i="13"/>
  <c r="AE164" i="13"/>
  <c r="H161" i="5"/>
  <c r="AE160" i="13"/>
  <c r="H157" i="5"/>
  <c r="AE105" i="13"/>
  <c r="AF105" i="13"/>
  <c r="AG105" i="13"/>
  <c r="AF101" i="13"/>
  <c r="AE101" i="13"/>
  <c r="AG101" i="13"/>
  <c r="AE102" i="13"/>
  <c r="H99" i="5" s="1"/>
  <c r="AG102" i="13"/>
  <c r="AF102" i="13"/>
  <c r="V199" i="5"/>
  <c r="I11" i="21"/>
  <c r="H214" i="5"/>
  <c r="BK49" i="13" l="1"/>
  <c r="W50" i="5" s="1"/>
  <c r="AE144" i="13"/>
  <c r="H138" i="5" s="1"/>
  <c r="H137" i="21" s="1"/>
  <c r="AF148" i="13"/>
  <c r="AE134" i="13"/>
  <c r="H128" i="5" s="1"/>
  <c r="H127" i="21" s="1"/>
  <c r="H135" i="21"/>
  <c r="AE138" i="13"/>
  <c r="H132" i="5" s="1"/>
  <c r="H131" i="21" s="1"/>
  <c r="AE126" i="13"/>
  <c r="H120" i="5" s="1"/>
  <c r="H120" i="21" s="1"/>
  <c r="O140" i="5"/>
  <c r="O140" i="21" s="1"/>
  <c r="H215" i="21"/>
  <c r="H45" i="11"/>
  <c r="I45" i="11" s="1"/>
  <c r="M45" i="11" s="1"/>
  <c r="AF32" i="11" s="1"/>
  <c r="AF138" i="13"/>
  <c r="O132" i="5" s="1"/>
  <c r="O131" i="21" s="1"/>
  <c r="O108" i="21"/>
  <c r="V24" i="21"/>
  <c r="V31" i="21"/>
  <c r="O26" i="21"/>
  <c r="O35" i="21"/>
  <c r="O31" i="21"/>
  <c r="V25" i="21"/>
  <c r="V17" i="21"/>
  <c r="V26" i="21"/>
  <c r="O27" i="21"/>
  <c r="O16" i="21"/>
  <c r="H29" i="21"/>
  <c r="H22" i="21"/>
  <c r="O30" i="21"/>
  <c r="O17" i="21"/>
  <c r="O23" i="21"/>
  <c r="O34" i="21"/>
  <c r="H33" i="21"/>
  <c r="H18" i="21"/>
  <c r="H19" i="21"/>
  <c r="V35" i="21"/>
  <c r="BT258" i="13"/>
  <c r="BT259" i="13" s="1"/>
  <c r="BS258" i="13"/>
  <c r="BS259" i="13" s="1"/>
  <c r="BR258" i="13"/>
  <c r="BR259" i="13" s="1"/>
  <c r="L7" i="5" s="1"/>
  <c r="J7" i="21" s="1"/>
  <c r="I228" i="5"/>
  <c r="I228" i="21" s="1"/>
  <c r="H222" i="21"/>
  <c r="H226" i="21"/>
  <c r="AF231" i="13"/>
  <c r="O221" i="5"/>
  <c r="O221" i="21" s="1"/>
  <c r="AG231" i="13"/>
  <c r="V228" i="5" s="1"/>
  <c r="V228" i="21" s="1"/>
  <c r="V225" i="5"/>
  <c r="V225" i="21" s="1"/>
  <c r="AE231" i="13"/>
  <c r="H228" i="5" s="1"/>
  <c r="H228" i="21" s="1"/>
  <c r="V161" i="5"/>
  <c r="I107" i="21"/>
  <c r="V192" i="21"/>
  <c r="V51" i="5"/>
  <c r="H44" i="21"/>
  <c r="H46" i="21"/>
  <c r="H123" i="21"/>
  <c r="H124" i="5"/>
  <c r="H125" i="21" s="1"/>
  <c r="O145" i="21"/>
  <c r="AE155" i="13"/>
  <c r="H151" i="5"/>
  <c r="O153" i="21"/>
  <c r="O151" i="5"/>
  <c r="O152" i="21" s="1"/>
  <c r="O226" i="21"/>
  <c r="H50" i="21"/>
  <c r="O227" i="21"/>
  <c r="O161" i="5"/>
  <c r="V193" i="21"/>
  <c r="H193" i="21"/>
  <c r="H51" i="21"/>
  <c r="V146" i="21"/>
  <c r="V155" i="21"/>
  <c r="O154" i="21"/>
  <c r="O155" i="21"/>
  <c r="H187" i="21"/>
  <c r="O146" i="21"/>
  <c r="H43" i="21"/>
  <c r="H45" i="21"/>
  <c r="H55" i="21"/>
  <c r="O225" i="21"/>
  <c r="F208" i="21"/>
  <c r="F209" i="21"/>
  <c r="AF209" i="21" s="1"/>
  <c r="V145" i="21"/>
  <c r="W48" i="21"/>
  <c r="W49" i="21"/>
  <c r="H192" i="21"/>
  <c r="W50" i="21"/>
  <c r="W51" i="21"/>
  <c r="D37" i="11"/>
  <c r="E37" i="11" s="1"/>
  <c r="K37" i="11" s="1"/>
  <c r="AD24" i="11" s="1"/>
  <c r="AC41" i="11"/>
  <c r="AE41" i="11"/>
  <c r="V108" i="21"/>
  <c r="BK306" i="13"/>
  <c r="AG46" i="13"/>
  <c r="V153" i="5"/>
  <c r="V153" i="21" s="1"/>
  <c r="W64" i="5"/>
  <c r="W64" i="21" s="1"/>
  <c r="F37" i="11"/>
  <c r="G37" i="11" s="1"/>
  <c r="L37" i="11" s="1"/>
  <c r="AE24" i="11" s="1"/>
  <c r="BE49" i="13"/>
  <c r="I50" i="5" s="1"/>
  <c r="BI306" i="13"/>
  <c r="BH49" i="13"/>
  <c r="P50" i="5" s="1"/>
  <c r="BJ306" i="13"/>
  <c r="I48" i="5"/>
  <c r="I238" i="5"/>
  <c r="O134" i="21"/>
  <c r="V131" i="21"/>
  <c r="V138" i="21"/>
  <c r="H134" i="21"/>
  <c r="O109" i="21"/>
  <c r="V109" i="21"/>
  <c r="O218" i="21"/>
  <c r="F201" i="21"/>
  <c r="AF201" i="21" s="1"/>
  <c r="F200" i="21"/>
  <c r="AF200" i="21" s="1"/>
  <c r="AC200" i="5"/>
  <c r="F202" i="21"/>
  <c r="AF202" i="21" s="1"/>
  <c r="V217" i="21"/>
  <c r="V167" i="21"/>
  <c r="H179" i="21"/>
  <c r="V221" i="21"/>
  <c r="O223" i="21"/>
  <c r="AG160" i="13"/>
  <c r="O224" i="21"/>
  <c r="V222" i="21"/>
  <c r="O214" i="21"/>
  <c r="V215" i="21"/>
  <c r="V110" i="21"/>
  <c r="O112" i="21"/>
  <c r="V140" i="21"/>
  <c r="I90" i="21"/>
  <c r="I91" i="21"/>
  <c r="V130" i="21"/>
  <c r="V132" i="21"/>
  <c r="O217" i="21"/>
  <c r="H184" i="21"/>
  <c r="H170" i="21"/>
  <c r="H141" i="21"/>
  <c r="H143" i="21"/>
  <c r="O216" i="21"/>
  <c r="V219" i="21"/>
  <c r="I152" i="21"/>
  <c r="V182" i="21"/>
  <c r="P90" i="21"/>
  <c r="P91" i="21"/>
  <c r="H133" i="21"/>
  <c r="O110" i="21"/>
  <c r="V178" i="21"/>
  <c r="O135" i="21"/>
  <c r="V122" i="21"/>
  <c r="H171" i="21"/>
  <c r="H121" i="21"/>
  <c r="O122" i="21"/>
  <c r="H183" i="21"/>
  <c r="O136" i="21"/>
  <c r="O215" i="21"/>
  <c r="V139" i="21"/>
  <c r="O220" i="21"/>
  <c r="O178" i="21"/>
  <c r="O130" i="21"/>
  <c r="V220" i="21"/>
  <c r="V224" i="21"/>
  <c r="V107" i="21"/>
  <c r="H214" i="21"/>
  <c r="O107" i="21"/>
  <c r="H175" i="21"/>
  <c r="H178" i="21"/>
  <c r="O142" i="21"/>
  <c r="V223" i="21"/>
  <c r="V152" i="21"/>
  <c r="O126" i="21"/>
  <c r="O219" i="21"/>
  <c r="V112" i="21"/>
  <c r="H129" i="21"/>
  <c r="V179" i="21"/>
  <c r="V216" i="21"/>
  <c r="V111" i="21"/>
  <c r="O111" i="21"/>
  <c r="V218" i="21"/>
  <c r="H139" i="21"/>
  <c r="V133" i="21"/>
  <c r="H153" i="21"/>
  <c r="AG155" i="13"/>
  <c r="V150" i="5" s="1"/>
  <c r="AC208" i="5"/>
  <c r="F205" i="21"/>
  <c r="AF205" i="21" s="1"/>
  <c r="AC201" i="5"/>
  <c r="Z38" i="21"/>
  <c r="H63" i="5"/>
  <c r="O63" i="5"/>
  <c r="J11" i="21"/>
  <c r="H11" i="21"/>
  <c r="AG183" i="13"/>
  <c r="V174" i="5"/>
  <c r="V174" i="21" s="1"/>
  <c r="AE179" i="13"/>
  <c r="H176" i="5" s="1"/>
  <c r="O159" i="5"/>
  <c r="V159" i="5"/>
  <c r="O157" i="5"/>
  <c r="I24" i="3"/>
  <c r="O188" i="5"/>
  <c r="O188" i="21" s="1"/>
  <c r="AF155" i="13"/>
  <c r="O150" i="5" s="1"/>
  <c r="AE192" i="13"/>
  <c r="H189" i="5" s="1"/>
  <c r="H188" i="5"/>
  <c r="H188" i="21" s="1"/>
  <c r="O53" i="5"/>
  <c r="O58" i="5"/>
  <c r="O58" i="21" s="1"/>
  <c r="AG192" i="13"/>
  <c r="V189" i="5" s="1"/>
  <c r="O175" i="5"/>
  <c r="AB44" i="11"/>
  <c r="AC44" i="11"/>
  <c r="AD44" i="11"/>
  <c r="AE44" i="11"/>
  <c r="O192" i="5"/>
  <c r="O192" i="21" s="1"/>
  <c r="O60" i="5"/>
  <c r="O61" i="21" s="1"/>
  <c r="O179" i="5"/>
  <c r="H185" i="5"/>
  <c r="H182" i="21" s="1"/>
  <c r="AG179" i="13"/>
  <c r="V176" i="5" s="1"/>
  <c r="AF183" i="13"/>
  <c r="AE171" i="13"/>
  <c r="H168" i="5" s="1"/>
  <c r="H165" i="21" s="1"/>
  <c r="AE183" i="13"/>
  <c r="H180" i="5" s="1"/>
  <c r="AG187" i="13"/>
  <c r="V184" i="5" s="1"/>
  <c r="O170" i="5"/>
  <c r="O185" i="5"/>
  <c r="O184" i="5"/>
  <c r="V128" i="5"/>
  <c r="V128" i="21" s="1"/>
  <c r="V188" i="5"/>
  <c r="V188" i="21" s="1"/>
  <c r="P155" i="5"/>
  <c r="W155" i="5"/>
  <c r="O50" i="5"/>
  <c r="O182" i="5"/>
  <c r="O44" i="5"/>
  <c r="O186" i="5"/>
  <c r="O123" i="21"/>
  <c r="O183" i="5"/>
  <c r="O166" i="5"/>
  <c r="O171" i="5"/>
  <c r="O120" i="5"/>
  <c r="O120" i="21" s="1"/>
  <c r="V186" i="5"/>
  <c r="V28" i="5"/>
  <c r="O46" i="5"/>
  <c r="O128" i="5"/>
  <c r="O128" i="21" s="1"/>
  <c r="AF171" i="13"/>
  <c r="O168" i="5" s="1"/>
  <c r="AG171" i="13"/>
  <c r="V168" i="5" s="1"/>
  <c r="AG169" i="13"/>
  <c r="V165" i="5" s="1"/>
  <c r="V166" i="21" s="1"/>
  <c r="H166" i="5"/>
  <c r="H167" i="21" s="1"/>
  <c r="AB214" i="13"/>
  <c r="AD206" i="13" s="1"/>
  <c r="F197" i="5"/>
  <c r="F197" i="21" s="1"/>
  <c r="AF197" i="21" s="1"/>
  <c r="O21" i="5"/>
  <c r="O21" i="21" s="1"/>
  <c r="V143" i="5"/>
  <c r="V141" i="21" s="1"/>
  <c r="V53" i="5"/>
  <c r="V175" i="5"/>
  <c r="V171" i="21" s="1"/>
  <c r="AG39" i="13"/>
  <c r="V32" i="5"/>
  <c r="O143" i="5"/>
  <c r="O141" i="21" s="1"/>
  <c r="O228" i="5"/>
  <c r="O228" i="21" s="1"/>
  <c r="O176" i="5"/>
  <c r="V99" i="5"/>
  <c r="V18" i="5"/>
  <c r="V18" i="21" s="1"/>
  <c r="O28" i="5"/>
  <c r="O28" i="21" s="1"/>
  <c r="V44" i="5"/>
  <c r="V44" i="21" s="1"/>
  <c r="O55" i="5"/>
  <c r="V21" i="5"/>
  <c r="O189" i="5"/>
  <c r="O32" i="5"/>
  <c r="O32" i="21" s="1"/>
  <c r="V61" i="5"/>
  <c r="V124" i="21"/>
  <c r="V60" i="5"/>
  <c r="O99" i="5"/>
  <c r="V120" i="5"/>
  <c r="V120" i="21" s="1"/>
  <c r="V58" i="5"/>
  <c r="V58" i="21" s="1"/>
  <c r="O54" i="5"/>
  <c r="O18" i="5"/>
  <c r="O18" i="21" s="1"/>
  <c r="O45" i="5"/>
  <c r="V46" i="5"/>
  <c r="V46" i="21" s="1"/>
  <c r="O49" i="5"/>
  <c r="O49" i="21" s="1"/>
  <c r="V49" i="5"/>
  <c r="V49" i="21" s="1"/>
  <c r="V54" i="5"/>
  <c r="V11" i="5"/>
  <c r="V11" i="21" s="1"/>
  <c r="O51" i="5"/>
  <c r="O51" i="21" s="1"/>
  <c r="O42" i="5"/>
  <c r="O42" i="21" s="1"/>
  <c r="O138" i="5"/>
  <c r="O137" i="21" s="1"/>
  <c r="V42" i="5"/>
  <c r="V42" i="21" s="1"/>
  <c r="V50" i="5"/>
  <c r="AF51" i="13"/>
  <c r="AG175" i="13"/>
  <c r="AE46" i="13"/>
  <c r="AF46" i="13"/>
  <c r="F86" i="16"/>
  <c r="I86" i="16" s="1"/>
  <c r="AE39" i="13"/>
  <c r="H39" i="5" s="1"/>
  <c r="AF39" i="13"/>
  <c r="AF59" i="13"/>
  <c r="AG56" i="13"/>
  <c r="AF56" i="13"/>
  <c r="AE51" i="13"/>
  <c r="AG59" i="13"/>
  <c r="AG51" i="13"/>
  <c r="O43" i="5"/>
  <c r="AG152" i="13"/>
  <c r="AE152" i="13"/>
  <c r="H147" i="5" s="1"/>
  <c r="H147" i="21" s="1"/>
  <c r="H43" i="11"/>
  <c r="I43" i="11" s="1"/>
  <c r="M43" i="11" s="1"/>
  <c r="AF30" i="11" s="1"/>
  <c r="W194" i="5"/>
  <c r="W194" i="21" s="1"/>
  <c r="F43" i="11"/>
  <c r="G43" i="11" s="1"/>
  <c r="L43" i="11" s="1"/>
  <c r="AE30" i="11" s="1"/>
  <c r="P194" i="5"/>
  <c r="P194" i="21" s="1"/>
  <c r="AE175" i="13"/>
  <c r="I194" i="5"/>
  <c r="I194" i="21" s="1"/>
  <c r="D43" i="11"/>
  <c r="E43" i="11" s="1"/>
  <c r="K43" i="11" s="1"/>
  <c r="AD30" i="11" s="1"/>
  <c r="O174" i="5"/>
  <c r="O174" i="21" s="1"/>
  <c r="AF175" i="13"/>
  <c r="J66" i="21"/>
  <c r="AG36" i="13"/>
  <c r="V36" i="5" s="1"/>
  <c r="AE36" i="13"/>
  <c r="H36" i="5" s="1"/>
  <c r="H36" i="21" s="1"/>
  <c r="AF36" i="13"/>
  <c r="O11" i="5"/>
  <c r="O11" i="21" s="1"/>
  <c r="V102" i="5"/>
  <c r="V102" i="21" s="1"/>
  <c r="AG103" i="13"/>
  <c r="V98" i="5"/>
  <c r="AG100" i="13"/>
  <c r="O102" i="5"/>
  <c r="O102" i="21" s="1"/>
  <c r="AF103" i="13"/>
  <c r="H98" i="5"/>
  <c r="AE100" i="13"/>
  <c r="H102" i="5"/>
  <c r="H102" i="21" s="1"/>
  <c r="AE103" i="13"/>
  <c r="H100" i="5" s="1"/>
  <c r="AF100" i="13"/>
  <c r="O98" i="5"/>
  <c r="H138" i="21" l="1"/>
  <c r="AF152" i="13"/>
  <c r="H128" i="21"/>
  <c r="H132" i="21"/>
  <c r="O222" i="21"/>
  <c r="V226" i="21"/>
  <c r="H39" i="21"/>
  <c r="H40" i="21"/>
  <c r="V32" i="21"/>
  <c r="V33" i="21"/>
  <c r="V21" i="21"/>
  <c r="V22" i="21"/>
  <c r="V28" i="21"/>
  <c r="V29" i="21"/>
  <c r="O22" i="21"/>
  <c r="O33" i="21"/>
  <c r="V19" i="21"/>
  <c r="O29" i="21"/>
  <c r="O19" i="21"/>
  <c r="O151" i="21"/>
  <c r="H124" i="21"/>
  <c r="V54" i="21"/>
  <c r="O55" i="21"/>
  <c r="V50" i="21"/>
  <c r="O54" i="21"/>
  <c r="H177" i="21"/>
  <c r="O45" i="21"/>
  <c r="O43" i="21"/>
  <c r="I50" i="21"/>
  <c r="I51" i="21"/>
  <c r="V189" i="21"/>
  <c r="V190" i="21"/>
  <c r="V45" i="21"/>
  <c r="O44" i="21"/>
  <c r="O189" i="21"/>
  <c r="O190" i="21"/>
  <c r="O50" i="21"/>
  <c r="O186" i="21"/>
  <c r="O187" i="21"/>
  <c r="V61" i="21"/>
  <c r="O46" i="21"/>
  <c r="W155" i="21"/>
  <c r="W156" i="21"/>
  <c r="V43" i="21"/>
  <c r="P155" i="21"/>
  <c r="P156" i="21"/>
  <c r="H189" i="21"/>
  <c r="H190" i="21"/>
  <c r="V51" i="21"/>
  <c r="V186" i="21"/>
  <c r="V187" i="21"/>
  <c r="O193" i="21"/>
  <c r="H186" i="21"/>
  <c r="I48" i="21"/>
  <c r="I49" i="21"/>
  <c r="P50" i="21"/>
  <c r="P51" i="21"/>
  <c r="V55" i="21"/>
  <c r="V154" i="21"/>
  <c r="D13" i="11"/>
  <c r="K49" i="11" s="1"/>
  <c r="BS301" i="13"/>
  <c r="AD42" i="11" s="1"/>
  <c r="BT301" i="13"/>
  <c r="AE42" i="11" s="1"/>
  <c r="BR301" i="13"/>
  <c r="AC42" i="11" s="1"/>
  <c r="O180" i="5"/>
  <c r="O180" i="21" s="1"/>
  <c r="V180" i="5"/>
  <c r="V180" i="21" s="1"/>
  <c r="O124" i="21"/>
  <c r="O132" i="21"/>
  <c r="O138" i="21"/>
  <c r="V185" i="21"/>
  <c r="F198" i="21"/>
  <c r="AF198" i="21" s="1"/>
  <c r="H181" i="21"/>
  <c r="V144" i="21"/>
  <c r="O167" i="21"/>
  <c r="O177" i="21"/>
  <c r="V177" i="21"/>
  <c r="O144" i="21"/>
  <c r="V183" i="21"/>
  <c r="V151" i="21"/>
  <c r="O183" i="21"/>
  <c r="Z7" i="5"/>
  <c r="Z7" i="21" s="1"/>
  <c r="H13" i="11"/>
  <c r="M49" i="11" s="1"/>
  <c r="S7" i="5"/>
  <c r="S7" i="21" s="1"/>
  <c r="F13" i="11"/>
  <c r="L49" i="11" s="1"/>
  <c r="O182" i="21"/>
  <c r="V165" i="21"/>
  <c r="V99" i="21"/>
  <c r="O170" i="21"/>
  <c r="V127" i="21"/>
  <c r="V129" i="21"/>
  <c r="O185" i="21"/>
  <c r="V168" i="21"/>
  <c r="H166" i="21"/>
  <c r="O168" i="21"/>
  <c r="O184" i="21"/>
  <c r="V143" i="21"/>
  <c r="H99" i="21"/>
  <c r="O139" i="21"/>
  <c r="V175" i="21"/>
  <c r="V184" i="21"/>
  <c r="O121" i="21"/>
  <c r="O171" i="21"/>
  <c r="H176" i="21"/>
  <c r="V150" i="21"/>
  <c r="O175" i="21"/>
  <c r="O133" i="21"/>
  <c r="V170" i="21"/>
  <c r="H180" i="21"/>
  <c r="O99" i="21"/>
  <c r="O179" i="21"/>
  <c r="O125" i="21"/>
  <c r="H168" i="21"/>
  <c r="H100" i="21"/>
  <c r="H101" i="21"/>
  <c r="O127" i="21"/>
  <c r="O129" i="21"/>
  <c r="V176" i="21"/>
  <c r="O150" i="21"/>
  <c r="V121" i="21"/>
  <c r="V123" i="21"/>
  <c r="V125" i="21"/>
  <c r="W152" i="21"/>
  <c r="H185" i="21"/>
  <c r="P152" i="21"/>
  <c r="O176" i="21"/>
  <c r="H152" i="21"/>
  <c r="O143" i="21"/>
  <c r="AC197" i="5"/>
  <c r="AF194" i="21"/>
  <c r="O165" i="5"/>
  <c r="O166" i="21" s="1"/>
  <c r="V147" i="5"/>
  <c r="V147" i="21" s="1"/>
  <c r="O100" i="5"/>
  <c r="AD205" i="13"/>
  <c r="AF205" i="13" s="1"/>
  <c r="F211" i="5"/>
  <c r="AC211" i="5" s="1"/>
  <c r="AD207" i="13"/>
  <c r="C44" i="11"/>
  <c r="AI200" i="13"/>
  <c r="AI214" i="13" s="1"/>
  <c r="I211" i="5" s="1"/>
  <c r="I211" i="21" s="1"/>
  <c r="AG197" i="13"/>
  <c r="AJ200" i="13"/>
  <c r="AJ214" i="13" s="1"/>
  <c r="P211" i="5" s="1"/>
  <c r="P211" i="21" s="1"/>
  <c r="AD209" i="13"/>
  <c r="AF209" i="13" s="1"/>
  <c r="AD204" i="13"/>
  <c r="AK200" i="13"/>
  <c r="AK214" i="13" s="1"/>
  <c r="W211" i="5" s="1"/>
  <c r="W211" i="21" s="1"/>
  <c r="AD200" i="13"/>
  <c r="AD201" i="13"/>
  <c r="AF201" i="13" s="1"/>
  <c r="AD213" i="13"/>
  <c r="AG213" i="13" s="1"/>
  <c r="AD211" i="13"/>
  <c r="AD210" i="13"/>
  <c r="AF210" i="13" s="1"/>
  <c r="AD212" i="13"/>
  <c r="AE212" i="13" s="1"/>
  <c r="H209" i="5" s="1"/>
  <c r="AD208" i="13"/>
  <c r="AD203" i="13"/>
  <c r="AG203" i="13" s="1"/>
  <c r="AD202" i="13"/>
  <c r="AE202" i="13" s="1"/>
  <c r="Z66" i="21"/>
  <c r="V172" i="5"/>
  <c r="V169" i="21" s="1"/>
  <c r="V100" i="5"/>
  <c r="F91" i="16"/>
  <c r="I91" i="16" s="1"/>
  <c r="O39" i="5"/>
  <c r="V36" i="21"/>
  <c r="V39" i="5"/>
  <c r="O147" i="5"/>
  <c r="O147" i="21" s="1"/>
  <c r="O36" i="5"/>
  <c r="O36" i="21" s="1"/>
  <c r="AG206" i="13"/>
  <c r="V204" i="5" s="1"/>
  <c r="AE206" i="13"/>
  <c r="H204" i="5" s="1"/>
  <c r="AF206" i="13"/>
  <c r="H172" i="5"/>
  <c r="AE197" i="13"/>
  <c r="H194" i="5" s="1"/>
  <c r="H194" i="21" s="1"/>
  <c r="O172" i="5"/>
  <c r="O169" i="21" s="1"/>
  <c r="AF197" i="13"/>
  <c r="O194" i="5" s="1"/>
  <c r="O194" i="21" s="1"/>
  <c r="AF110" i="13"/>
  <c r="O97" i="5"/>
  <c r="O97" i="21" s="1"/>
  <c r="AE110" i="13"/>
  <c r="H103" i="5" s="1"/>
  <c r="H103" i="21" s="1"/>
  <c r="H97" i="5"/>
  <c r="H97" i="21" s="1"/>
  <c r="AG110" i="13"/>
  <c r="V97" i="5"/>
  <c r="V97" i="21" s="1"/>
  <c r="D30" i="16"/>
  <c r="V39" i="21" l="1"/>
  <c r="V40" i="21"/>
  <c r="O39" i="21"/>
  <c r="O40" i="21"/>
  <c r="V181" i="21"/>
  <c r="O181" i="21"/>
  <c r="AF212" i="21"/>
  <c r="F211" i="21"/>
  <c r="AF211" i="21" s="1"/>
  <c r="V173" i="21"/>
  <c r="O173" i="21"/>
  <c r="H169" i="21"/>
  <c r="H173" i="21"/>
  <c r="V98" i="21"/>
  <c r="AF208" i="21"/>
  <c r="O100" i="21"/>
  <c r="O101" i="21"/>
  <c r="V172" i="21"/>
  <c r="V100" i="21"/>
  <c r="V101" i="21"/>
  <c r="O98" i="21"/>
  <c r="O165" i="21"/>
  <c r="H98" i="21"/>
  <c r="O172" i="21"/>
  <c r="H172" i="21"/>
  <c r="AE213" i="13"/>
  <c r="H210" i="5" s="1"/>
  <c r="H210" i="21" s="1"/>
  <c r="AF213" i="13"/>
  <c r="AG201" i="13"/>
  <c r="V198" i="5" s="1"/>
  <c r="AG205" i="13"/>
  <c r="AG204" i="13" s="1"/>
  <c r="V202" i="5" s="1"/>
  <c r="AE205" i="13"/>
  <c r="AE204" i="13" s="1"/>
  <c r="H202" i="5" s="1"/>
  <c r="AG202" i="13"/>
  <c r="V200" i="5" s="1"/>
  <c r="AF202" i="13"/>
  <c r="O200" i="5" s="1"/>
  <c r="AF203" i="13"/>
  <c r="O201" i="5" s="1"/>
  <c r="AE203" i="13"/>
  <c r="H201" i="5" s="1"/>
  <c r="O207" i="5"/>
  <c r="AG210" i="13"/>
  <c r="V207" i="5" s="1"/>
  <c r="AE210" i="13"/>
  <c r="H207" i="5" s="1"/>
  <c r="AG209" i="13"/>
  <c r="AE209" i="13"/>
  <c r="H206" i="5" s="1"/>
  <c r="V201" i="5"/>
  <c r="O198" i="5"/>
  <c r="AD214" i="13"/>
  <c r="AE201" i="13"/>
  <c r="H198" i="5" s="1"/>
  <c r="AF212" i="13"/>
  <c r="AG212" i="13"/>
  <c r="V209" i="5" s="1"/>
  <c r="O204" i="5"/>
  <c r="V194" i="5"/>
  <c r="V194" i="21" s="1"/>
  <c r="O103" i="5"/>
  <c r="O103" i="21" s="1"/>
  <c r="V103" i="5"/>
  <c r="V103" i="21" s="1"/>
  <c r="AF208" i="13"/>
  <c r="O206" i="5"/>
  <c r="H200" i="5"/>
  <c r="O210" i="5"/>
  <c r="O203" i="5"/>
  <c r="AF204" i="13"/>
  <c r="O202" i="5" s="1"/>
  <c r="V210" i="5"/>
  <c r="F30" i="16"/>
  <c r="F75" i="5"/>
  <c r="V210" i="21" l="1"/>
  <c r="H207" i="21"/>
  <c r="O199" i="21"/>
  <c r="O207" i="21"/>
  <c r="H199" i="21"/>
  <c r="V199" i="21"/>
  <c r="O203" i="21"/>
  <c r="O200" i="21"/>
  <c r="V201" i="21"/>
  <c r="O204" i="21"/>
  <c r="O201" i="21"/>
  <c r="H201" i="21"/>
  <c r="AE211" i="13"/>
  <c r="F75" i="21"/>
  <c r="AF75" i="21" s="1"/>
  <c r="F76" i="21"/>
  <c r="AF76" i="21" s="1"/>
  <c r="H203" i="5"/>
  <c r="H200" i="21" s="1"/>
  <c r="V203" i="5"/>
  <c r="V200" i="21" s="1"/>
  <c r="AF211" i="13"/>
  <c r="AG200" i="13"/>
  <c r="AE200" i="13"/>
  <c r="H197" i="5" s="1"/>
  <c r="AF200" i="13"/>
  <c r="AE208" i="13"/>
  <c r="AG208" i="13"/>
  <c r="V206" i="5"/>
  <c r="V207" i="21" s="1"/>
  <c r="AG211" i="13"/>
  <c r="O209" i="5"/>
  <c r="O210" i="21" s="1"/>
  <c r="O197" i="5"/>
  <c r="V197" i="5"/>
  <c r="AC75" i="5"/>
  <c r="I30" i="16"/>
  <c r="D31" i="16"/>
  <c r="O198" i="21" l="1"/>
  <c r="V198" i="21"/>
  <c r="H204" i="21"/>
  <c r="H198" i="21"/>
  <c r="V204" i="21"/>
  <c r="V203" i="21"/>
  <c r="V197" i="21"/>
  <c r="H197" i="21"/>
  <c r="O197" i="21"/>
  <c r="H203" i="21"/>
  <c r="AF214" i="13"/>
  <c r="AG214" i="13"/>
  <c r="V211" i="5" s="1"/>
  <c r="V211" i="21" s="1"/>
  <c r="D33" i="16"/>
  <c r="F33" i="16" l="1"/>
  <c r="F82" i="5"/>
  <c r="F82" i="21" l="1"/>
  <c r="AF82" i="21" s="1"/>
  <c r="F83" i="21"/>
  <c r="AF83" i="21" s="1"/>
  <c r="AC82" i="5"/>
  <c r="I33" i="16"/>
  <c r="D34" i="16"/>
  <c r="F34" i="16" l="1"/>
  <c r="F85" i="5"/>
  <c r="F85" i="21" l="1"/>
  <c r="AF85" i="21" s="1"/>
  <c r="F86" i="21"/>
  <c r="AF86" i="21" s="1"/>
  <c r="AC85" i="5"/>
  <c r="I34" i="16"/>
  <c r="D35" i="16"/>
  <c r="AA97" i="13" l="1"/>
  <c r="AA260" i="13" s="1"/>
  <c r="F89" i="5"/>
  <c r="F89" i="21" l="1"/>
  <c r="AF89" i="21" s="1"/>
  <c r="F90" i="21"/>
  <c r="AF90" i="21" s="1"/>
  <c r="F35" i="16"/>
  <c r="I35" i="16" s="1"/>
  <c r="AC89" i="5"/>
  <c r="T97" i="13"/>
  <c r="D40" i="16" s="1"/>
  <c r="D36" i="16" l="1"/>
  <c r="F36" i="16" l="1"/>
  <c r="F92" i="5"/>
  <c r="F92" i="21" l="1"/>
  <c r="AF92" i="21" s="1"/>
  <c r="F93" i="21"/>
  <c r="AF93" i="21" s="1"/>
  <c r="AC92" i="5"/>
  <c r="I36" i="16"/>
  <c r="T123" i="13" l="1"/>
  <c r="D55" i="16"/>
  <c r="D56" i="16" l="1"/>
  <c r="F115" i="5"/>
  <c r="F115" i="21" l="1"/>
  <c r="AF115" i="21" s="1"/>
  <c r="F116" i="21"/>
  <c r="AC115" i="5"/>
  <c r="F114" i="21"/>
  <c r="AF114" i="21" s="1"/>
  <c r="F55" i="16"/>
  <c r="I55" i="16" s="1"/>
  <c r="H40" i="11"/>
  <c r="H109" i="5"/>
  <c r="H111" i="5"/>
  <c r="H111" i="21" s="1"/>
  <c r="F117" i="5"/>
  <c r="F117" i="21" s="1"/>
  <c r="AF117" i="21" s="1"/>
  <c r="F40" i="11"/>
  <c r="H108" i="21" l="1"/>
  <c r="H109" i="21"/>
  <c r="H110" i="21"/>
  <c r="H112" i="21"/>
  <c r="AC117" i="5"/>
  <c r="AF116" i="21"/>
  <c r="F56" i="16"/>
  <c r="I56" i="16" s="1"/>
  <c r="G40" i="11"/>
  <c r="L40" i="11" s="1"/>
  <c r="D40" i="11"/>
  <c r="I117" i="5"/>
  <c r="I117" i="21" s="1"/>
  <c r="I40" i="11"/>
  <c r="M40" i="11" s="1"/>
  <c r="AE27" i="11" l="1"/>
  <c r="AF27" i="11"/>
  <c r="H106" i="5"/>
  <c r="E40" i="11"/>
  <c r="K40" i="11" s="1"/>
  <c r="H106" i="21" l="1"/>
  <c r="H107" i="21"/>
  <c r="AD27" i="11"/>
  <c r="D70" i="16" l="1"/>
  <c r="F156" i="5" l="1"/>
  <c r="F157" i="21" s="1"/>
  <c r="F70" i="16"/>
  <c r="F156" i="21" l="1"/>
  <c r="AF156" i="21" s="1"/>
  <c r="AC156" i="5"/>
  <c r="AF153" i="21"/>
  <c r="I70" i="16"/>
  <c r="D71" i="16"/>
  <c r="T259" i="13" l="1"/>
  <c r="F30" i="3" s="1"/>
  <c r="D72" i="16"/>
  <c r="F160" i="5" l="1"/>
  <c r="F71" i="16"/>
  <c r="F160" i="21" l="1"/>
  <c r="AF160" i="21" s="1"/>
  <c r="F161" i="21"/>
  <c r="AF161" i="21" s="1"/>
  <c r="AC160" i="5"/>
  <c r="AF157" i="21"/>
  <c r="F42" i="11"/>
  <c r="I71" i="16"/>
  <c r="F72" i="16"/>
  <c r="I72" i="16" s="1"/>
  <c r="H42" i="11"/>
  <c r="F162" i="5"/>
  <c r="F162" i="21" s="1"/>
  <c r="AF162" i="21" l="1"/>
  <c r="AF163" i="21"/>
  <c r="AC162" i="5"/>
  <c r="AF159" i="21"/>
  <c r="I42" i="11"/>
  <c r="M42" i="11" s="1"/>
  <c r="D42" i="11"/>
  <c r="I162" i="5"/>
  <c r="I162" i="21" s="1"/>
  <c r="G42" i="11"/>
  <c r="L42" i="11" s="1"/>
  <c r="AE29" i="11" l="1"/>
  <c r="AF29" i="11"/>
  <c r="H150" i="5"/>
  <c r="H151" i="21" s="1"/>
  <c r="E42" i="11"/>
  <c r="K42" i="11" s="1"/>
  <c r="H150" i="21" l="1"/>
  <c r="AD29" i="11"/>
  <c r="F259" i="13"/>
  <c r="H47" i="5" l="1"/>
  <c r="O47" i="5"/>
  <c r="V47" i="5"/>
  <c r="H52" i="5"/>
  <c r="V52" i="5"/>
  <c r="O52" i="5"/>
  <c r="H56" i="5"/>
  <c r="O56" i="5"/>
  <c r="V56" i="5"/>
  <c r="H59" i="5"/>
  <c r="V59" i="5"/>
  <c r="O59" i="5"/>
  <c r="AE66" i="13"/>
  <c r="H62" i="5"/>
  <c r="O59" i="21" l="1"/>
  <c r="O60" i="21"/>
  <c r="V59" i="21"/>
  <c r="V60" i="21"/>
  <c r="H59" i="21"/>
  <c r="H60" i="21"/>
  <c r="V56" i="21"/>
  <c r="V57" i="21"/>
  <c r="O56" i="21"/>
  <c r="O57" i="21"/>
  <c r="H56" i="21"/>
  <c r="H57" i="21"/>
  <c r="O52" i="21"/>
  <c r="O53" i="21"/>
  <c r="V52" i="21"/>
  <c r="V53" i="21"/>
  <c r="H52" i="21"/>
  <c r="H53" i="21"/>
  <c r="V47" i="21"/>
  <c r="V48" i="21"/>
  <c r="O47" i="21"/>
  <c r="O48" i="21"/>
  <c r="H62" i="21"/>
  <c r="H63" i="21"/>
  <c r="H47" i="21"/>
  <c r="H48" i="21"/>
  <c r="Q66" i="21"/>
  <c r="X66" i="21"/>
  <c r="H64" i="5"/>
  <c r="H64" i="21" s="1"/>
  <c r="AG66" i="13"/>
  <c r="V62" i="5"/>
  <c r="AF66" i="13"/>
  <c r="O62" i="5"/>
  <c r="O62" i="21" l="1"/>
  <c r="O63" i="21"/>
  <c r="V62" i="21"/>
  <c r="V63" i="21"/>
  <c r="V64" i="5"/>
  <c r="V64" i="21" s="1"/>
  <c r="O64" i="5"/>
  <c r="O64" i="21" s="1"/>
  <c r="AE123" i="13"/>
  <c r="H117" i="5" s="1"/>
  <c r="H117" i="21" s="1"/>
  <c r="H115" i="5"/>
  <c r="H116" i="21" s="1"/>
  <c r="H114" i="21" l="1"/>
  <c r="H115" i="21"/>
  <c r="AF123" i="13"/>
  <c r="O117" i="5" s="1"/>
  <c r="O117" i="21" s="1"/>
  <c r="O115" i="5"/>
  <c r="O116" i="21" s="1"/>
  <c r="AG123" i="13"/>
  <c r="V117" i="5" s="1"/>
  <c r="V117" i="21" s="1"/>
  <c r="V115" i="5"/>
  <c r="V116" i="21" s="1"/>
  <c r="H156" i="5"/>
  <c r="H158" i="5"/>
  <c r="AE166" i="13"/>
  <c r="H162" i="5" s="1"/>
  <c r="H162" i="21" s="1"/>
  <c r="H160" i="5"/>
  <c r="H160" i="21" l="1"/>
  <c r="H161" i="21"/>
  <c r="H158" i="21"/>
  <c r="H159" i="21"/>
  <c r="H156" i="21"/>
  <c r="H157" i="21"/>
  <c r="V114" i="21"/>
  <c r="V115" i="21"/>
  <c r="O114" i="21"/>
  <c r="O115" i="21"/>
  <c r="O156" i="5"/>
  <c r="V156" i="5"/>
  <c r="V158" i="5"/>
  <c r="O158" i="5"/>
  <c r="AF166" i="13"/>
  <c r="O162" i="5" s="1"/>
  <c r="O162" i="21" s="1"/>
  <c r="O160" i="5"/>
  <c r="AG166" i="13"/>
  <c r="V162" i="5" s="1"/>
  <c r="V162" i="21" s="1"/>
  <c r="V160" i="5"/>
  <c r="O205" i="5"/>
  <c r="V205" i="5"/>
  <c r="V156" i="21" l="1"/>
  <c r="V157" i="21"/>
  <c r="O156" i="21"/>
  <c r="O157" i="21"/>
  <c r="V160" i="21"/>
  <c r="V161" i="21"/>
  <c r="O160" i="21"/>
  <c r="O161" i="21"/>
  <c r="O158" i="21"/>
  <c r="O159" i="21"/>
  <c r="V158" i="21"/>
  <c r="V159" i="21"/>
  <c r="V202" i="21"/>
  <c r="V206" i="21"/>
  <c r="O202" i="21"/>
  <c r="O206" i="21"/>
  <c r="D44" i="11"/>
  <c r="E44" i="11" s="1"/>
  <c r="K44" i="11" s="1"/>
  <c r="AD31" i="11" l="1"/>
  <c r="F44" i="11" l="1"/>
  <c r="O208" i="5"/>
  <c r="O209" i="21" s="1"/>
  <c r="O205" i="21" l="1"/>
  <c r="O208" i="21"/>
  <c r="G44" i="11"/>
  <c r="L44" i="11" s="1"/>
  <c r="AE31" i="11" l="1"/>
  <c r="V208" i="5" l="1"/>
  <c r="H44" i="11"/>
  <c r="V208" i="21" l="1"/>
  <c r="V209" i="21"/>
  <c r="V205" i="21"/>
  <c r="I44" i="11"/>
  <c r="M44" i="11" s="1"/>
  <c r="AF31" i="11" l="1"/>
  <c r="H205" i="5" l="1"/>
  <c r="H208" i="5"/>
  <c r="AE214" i="13"/>
  <c r="H208" i="21" l="1"/>
  <c r="H209" i="21"/>
  <c r="H202" i="21"/>
  <c r="H206" i="21"/>
  <c r="H205" i="21"/>
  <c r="H211" i="5"/>
  <c r="H211" i="21" s="1"/>
  <c r="O211" i="5"/>
  <c r="O211" i="21" s="1"/>
  <c r="F79" i="5"/>
  <c r="F80" i="21" s="1"/>
  <c r="AF80" i="21" s="1"/>
  <c r="F31" i="16"/>
  <c r="AC79" i="5" l="1"/>
  <c r="F79" i="21"/>
  <c r="AF79" i="21" s="1"/>
  <c r="AJ79" i="13"/>
  <c r="AJ97" i="13" s="1"/>
  <c r="AB97" i="13"/>
  <c r="AI79" i="13"/>
  <c r="AI97" i="13" s="1"/>
  <c r="AK79" i="13"/>
  <c r="AK97" i="13" s="1"/>
  <c r="F40" i="16"/>
  <c r="I40" i="16" s="1"/>
  <c r="I31" i="16"/>
  <c r="AD72" i="13" l="1"/>
  <c r="C38" i="11"/>
  <c r="F38" i="11"/>
  <c r="F46" i="11" s="1"/>
  <c r="BG262" i="13" s="1"/>
  <c r="P94" i="5"/>
  <c r="P94" i="21" s="1"/>
  <c r="H38" i="11"/>
  <c r="H46" i="11" s="1"/>
  <c r="BJ262" i="13" s="1"/>
  <c r="W94" i="5"/>
  <c r="D38" i="11"/>
  <c r="D46" i="11" s="1"/>
  <c r="BD262" i="13" s="1"/>
  <c r="I94" i="5"/>
  <c r="I94" i="21" s="1"/>
  <c r="AD92" i="13"/>
  <c r="AE92" i="13" s="1"/>
  <c r="H91" i="5" s="1"/>
  <c r="AD90" i="13"/>
  <c r="AD70" i="13"/>
  <c r="AG70" i="13" s="1"/>
  <c r="AD73" i="13"/>
  <c r="AG73" i="13" s="1"/>
  <c r="AB259" i="13"/>
  <c r="AD96" i="13"/>
  <c r="AD74" i="13"/>
  <c r="AF74" i="13" s="1"/>
  <c r="AD86" i="13"/>
  <c r="AD77" i="13"/>
  <c r="AE77" i="13" s="1"/>
  <c r="H77" i="5" s="1"/>
  <c r="AD95" i="13"/>
  <c r="AD78" i="13"/>
  <c r="AG78" i="13" s="1"/>
  <c r="F94" i="5"/>
  <c r="F94" i="21" s="1"/>
  <c r="AF94" i="21" s="1"/>
  <c r="AD76" i="13"/>
  <c r="AF76" i="13" s="1"/>
  <c r="AD87" i="13"/>
  <c r="AE87" i="13" s="1"/>
  <c r="AD91" i="13"/>
  <c r="AG91" i="13" s="1"/>
  <c r="AD79" i="13"/>
  <c r="AD84" i="13"/>
  <c r="AG84" i="13" s="1"/>
  <c r="BD261" i="13"/>
  <c r="C46" i="11"/>
  <c r="AD83" i="13"/>
  <c r="AD82" i="13"/>
  <c r="AD85" i="13"/>
  <c r="AG85" i="13" s="1"/>
  <c r="AD89" i="13"/>
  <c r="AF89" i="13" s="1"/>
  <c r="AD93" i="13"/>
  <c r="BG261" i="13"/>
  <c r="AD71" i="13"/>
  <c r="AG71" i="13" s="1"/>
  <c r="AD88" i="13"/>
  <c r="AD80" i="13"/>
  <c r="AE80" i="13" s="1"/>
  <c r="AD69" i="13"/>
  <c r="AD81" i="13"/>
  <c r="AD94" i="13"/>
  <c r="BJ261" i="13"/>
  <c r="AD75" i="13"/>
  <c r="AF72" i="13"/>
  <c r="O70" i="5" s="1"/>
  <c r="AG72" i="13"/>
  <c r="V70" i="5" s="1"/>
  <c r="AE72" i="13"/>
  <c r="H70" i="5" s="1"/>
  <c r="F32" i="3" l="1"/>
  <c r="AA259" i="13"/>
  <c r="F31" i="3" s="1"/>
  <c r="AF92" i="13"/>
  <c r="O91" i="5" s="1"/>
  <c r="AG92" i="13"/>
  <c r="V91" i="5" s="1"/>
  <c r="AB208" i="21"/>
  <c r="W94" i="21"/>
  <c r="AF78" i="13"/>
  <c r="O78" i="5" s="1"/>
  <c r="AE89" i="13"/>
  <c r="H88" i="5" s="1"/>
  <c r="AG89" i="13"/>
  <c r="V88" i="5" s="1"/>
  <c r="AE78" i="13"/>
  <c r="H78" i="5" s="1"/>
  <c r="H78" i="21" s="1"/>
  <c r="V78" i="5"/>
  <c r="O88" i="5"/>
  <c r="AG77" i="13"/>
  <c r="V77" i="5" s="1"/>
  <c r="AF77" i="13"/>
  <c r="O77" i="5" s="1"/>
  <c r="AG76" i="13"/>
  <c r="V76" i="5" s="1"/>
  <c r="AE76" i="13"/>
  <c r="AE91" i="13"/>
  <c r="H90" i="5" s="1"/>
  <c r="AF91" i="13"/>
  <c r="V90" i="5" s="1"/>
  <c r="AE73" i="13"/>
  <c r="H72" i="5" s="1"/>
  <c r="H73" i="21" s="1"/>
  <c r="AG87" i="13"/>
  <c r="V86" i="5" s="1"/>
  <c r="AF85" i="13"/>
  <c r="O84" i="5" s="1"/>
  <c r="AE85" i="13"/>
  <c r="H84" i="5" s="1"/>
  <c r="AF73" i="13"/>
  <c r="AF70" i="13"/>
  <c r="AF84" i="13"/>
  <c r="O83" i="5" s="1"/>
  <c r="AE84" i="13"/>
  <c r="H83" i="5" s="1"/>
  <c r="AE70" i="13"/>
  <c r="H68" i="5" s="1"/>
  <c r="I38" i="11"/>
  <c r="M38" i="11" s="1"/>
  <c r="M46" i="11" s="1"/>
  <c r="E38" i="11"/>
  <c r="K38" i="11" s="1"/>
  <c r="AD25" i="11" s="1"/>
  <c r="AC94" i="5"/>
  <c r="G38" i="11"/>
  <c r="L38" i="11" s="1"/>
  <c r="L46" i="11" s="1"/>
  <c r="S5" i="5" s="1"/>
  <c r="S5" i="21" s="1"/>
  <c r="AE71" i="13"/>
  <c r="H69" i="5" s="1"/>
  <c r="AF71" i="13"/>
  <c r="O69" i="5" s="1"/>
  <c r="AG74" i="13"/>
  <c r="V74" i="5" s="1"/>
  <c r="AE74" i="13"/>
  <c r="H74" i="5" s="1"/>
  <c r="AF87" i="13"/>
  <c r="O86" i="5" s="1"/>
  <c r="AG80" i="13"/>
  <c r="V80" i="5" s="1"/>
  <c r="AF80" i="13"/>
  <c r="O80" i="5" s="1"/>
  <c r="AG88" i="13"/>
  <c r="V87" i="5" s="1"/>
  <c r="AE88" i="13"/>
  <c r="H87" i="5" s="1"/>
  <c r="AF88" i="13"/>
  <c r="O87" i="5" s="1"/>
  <c r="AE81" i="13"/>
  <c r="H81" i="5" s="1"/>
  <c r="AG81" i="13"/>
  <c r="V81" i="5" s="1"/>
  <c r="AF81" i="13"/>
  <c r="O81" i="5" s="1"/>
  <c r="AD97" i="13"/>
  <c r="AG94" i="13"/>
  <c r="AE94" i="13"/>
  <c r="AF94" i="13"/>
  <c r="H80" i="5"/>
  <c r="H86" i="5"/>
  <c r="AG83" i="13"/>
  <c r="O76" i="5"/>
  <c r="V68" i="5"/>
  <c r="H69" i="21" l="1"/>
  <c r="H70" i="21"/>
  <c r="O70" i="21"/>
  <c r="AG90" i="13"/>
  <c r="V89" i="5" s="1"/>
  <c r="V89" i="21" s="1"/>
  <c r="H71" i="21"/>
  <c r="H72" i="21"/>
  <c r="V87" i="21"/>
  <c r="H74" i="21"/>
  <c r="O84" i="21"/>
  <c r="V81" i="21"/>
  <c r="V78" i="21"/>
  <c r="O88" i="21"/>
  <c r="H84" i="21"/>
  <c r="O78" i="21"/>
  <c r="O81" i="21"/>
  <c r="V88" i="21"/>
  <c r="H88" i="21"/>
  <c r="H81" i="21"/>
  <c r="O87" i="21"/>
  <c r="H87" i="21"/>
  <c r="V91" i="21"/>
  <c r="O77" i="21"/>
  <c r="V77" i="21"/>
  <c r="H91" i="21"/>
  <c r="AF75" i="13"/>
  <c r="O75" i="5" s="1"/>
  <c r="AE75" i="13"/>
  <c r="H75" i="5" s="1"/>
  <c r="H75" i="21" s="1"/>
  <c r="H76" i="5"/>
  <c r="V83" i="5"/>
  <c r="O68" i="5"/>
  <c r="BJ263" i="13"/>
  <c r="BK263" i="13" s="1"/>
  <c r="BL263" i="13" s="1"/>
  <c r="Z5" i="5"/>
  <c r="Z5" i="21" s="1"/>
  <c r="AF90" i="13"/>
  <c r="O89" i="5" s="1"/>
  <c r="O89" i="21" s="1"/>
  <c r="O72" i="5"/>
  <c r="O73" i="21" s="1"/>
  <c r="V84" i="5"/>
  <c r="O90" i="5"/>
  <c r="O74" i="5"/>
  <c r="V69" i="5"/>
  <c r="V72" i="5"/>
  <c r="V73" i="21" s="1"/>
  <c r="AE90" i="13"/>
  <c r="H89" i="5" s="1"/>
  <c r="H89" i="21" s="1"/>
  <c r="AG75" i="13"/>
  <c r="V75" i="5" s="1"/>
  <c r="V75" i="21" s="1"/>
  <c r="AF83" i="13"/>
  <c r="O82" i="5" s="1"/>
  <c r="O82" i="21" s="1"/>
  <c r="K46" i="11"/>
  <c r="BD263" i="13" s="1"/>
  <c r="BE263" i="13" s="1"/>
  <c r="BF263" i="13" s="1"/>
  <c r="AE83" i="13"/>
  <c r="H82" i="5" s="1"/>
  <c r="H82" i="21" s="1"/>
  <c r="AF25" i="11"/>
  <c r="AF69" i="13"/>
  <c r="AE25" i="11"/>
  <c r="AE69" i="13"/>
  <c r="H67" i="5" s="1"/>
  <c r="H67" i="21" s="1"/>
  <c r="AG69" i="13"/>
  <c r="AE86" i="13"/>
  <c r="H85" i="5" s="1"/>
  <c r="H85" i="21" s="1"/>
  <c r="AG86" i="13"/>
  <c r="V85" i="5" s="1"/>
  <c r="AF86" i="13"/>
  <c r="O85" i="5" s="1"/>
  <c r="O85" i="21" s="1"/>
  <c r="AF79" i="13"/>
  <c r="AE79" i="13"/>
  <c r="H79" i="5" s="1"/>
  <c r="H79" i="21" s="1"/>
  <c r="AG79" i="13"/>
  <c r="AF93" i="13"/>
  <c r="O92" i="5" s="1"/>
  <c r="O92" i="21" s="1"/>
  <c r="O93" i="5"/>
  <c r="H93" i="5"/>
  <c r="AE93" i="13"/>
  <c r="H92" i="5" s="1"/>
  <c r="H92" i="21" s="1"/>
  <c r="AG93" i="13"/>
  <c r="V92" i="5" s="1"/>
  <c r="V92" i="21" s="1"/>
  <c r="V93" i="5"/>
  <c r="BG263" i="13"/>
  <c r="V69" i="21" l="1"/>
  <c r="V70" i="21"/>
  <c r="H68" i="21"/>
  <c r="O69" i="21"/>
  <c r="V71" i="21"/>
  <c r="V72" i="21"/>
  <c r="O71" i="21"/>
  <c r="O72" i="21"/>
  <c r="O74" i="21"/>
  <c r="V85" i="21"/>
  <c r="V84" i="21"/>
  <c r="O75" i="21"/>
  <c r="O76" i="21"/>
  <c r="V93" i="21"/>
  <c r="H93" i="21"/>
  <c r="O93" i="21"/>
  <c r="H90" i="21"/>
  <c r="O83" i="21"/>
  <c r="V90" i="21"/>
  <c r="H80" i="21"/>
  <c r="O90" i="21"/>
  <c r="O86" i="21"/>
  <c r="H83" i="21"/>
  <c r="V86" i="21"/>
  <c r="H76" i="21"/>
  <c r="H77" i="21"/>
  <c r="O91" i="21"/>
  <c r="V76" i="21"/>
  <c r="V74" i="21"/>
  <c r="H86" i="21"/>
  <c r="H11" i="11"/>
  <c r="O67" i="5"/>
  <c r="O67" i="21" s="1"/>
  <c r="O79" i="5"/>
  <c r="V82" i="5"/>
  <c r="V82" i="21" s="1"/>
  <c r="V79" i="5"/>
  <c r="V67" i="5"/>
  <c r="D11" i="11"/>
  <c r="L5" i="5"/>
  <c r="J5" i="21" s="1"/>
  <c r="AF97" i="13"/>
  <c r="AE97" i="13"/>
  <c r="AE261" i="13" s="1"/>
  <c r="AG97" i="13"/>
  <c r="F11" i="11"/>
  <c r="BH263" i="13"/>
  <c r="BI263" i="13" s="1"/>
  <c r="V67" i="21" l="1"/>
  <c r="V68" i="21"/>
  <c r="O68" i="21"/>
  <c r="O79" i="21"/>
  <c r="O80" i="21"/>
  <c r="V79" i="21"/>
  <c r="V80" i="21"/>
  <c r="V83" i="21"/>
  <c r="V94" i="5"/>
  <c r="V94" i="21" s="1"/>
  <c r="O94" i="5"/>
  <c r="O94" i="21" s="1"/>
  <c r="H94" i="5"/>
  <c r="H94" i="21" s="1"/>
  <c r="BJ316" i="13"/>
  <c r="BS310" i="13" s="1"/>
  <c r="AD51" i="11" s="1"/>
  <c r="BG250" i="13"/>
  <c r="BH250" i="13" s="1"/>
  <c r="P139" i="5" s="1"/>
  <c r="AY145" i="13"/>
  <c r="P139" i="21" l="1"/>
  <c r="BH145" i="13"/>
  <c r="P140" i="5" s="1"/>
  <c r="P141" i="21" s="1"/>
  <c r="BG260" i="13"/>
  <c r="BI316" i="13"/>
  <c r="BR310" i="13" s="1"/>
  <c r="AC51" i="11" s="1"/>
  <c r="BE145" i="13"/>
  <c r="BH260" i="13" l="1"/>
  <c r="BI260" i="13" s="1"/>
  <c r="BI265" i="13" s="1"/>
  <c r="BH265" i="13" s="1"/>
  <c r="BH259" i="13"/>
  <c r="S6" i="5" s="1"/>
  <c r="S6" i="21" s="1"/>
  <c r="P140" i="21"/>
  <c r="BK145" i="13"/>
  <c r="BJ250" i="13"/>
  <c r="I140" i="5"/>
  <c r="I141" i="21" s="1"/>
  <c r="I139" i="5"/>
  <c r="W140" i="5"/>
  <c r="W141" i="21" s="1"/>
  <c r="BK316" i="13"/>
  <c r="BT310" i="13" s="1"/>
  <c r="AE51" i="11" s="1"/>
  <c r="L48" i="11" l="1"/>
  <c r="BH268" i="13"/>
  <c r="BK250" i="13"/>
  <c r="W139" i="5" s="1"/>
  <c r="W139" i="21" s="1"/>
  <c r="BJ260" i="13"/>
  <c r="BK260" i="13" s="1"/>
  <c r="I140" i="21"/>
  <c r="I139" i="21"/>
  <c r="W140" i="21"/>
  <c r="F10" i="11"/>
  <c r="L47" i="11" s="1"/>
  <c r="S4" i="5"/>
  <c r="S4" i="21" s="1"/>
  <c r="M48" i="11" l="1"/>
  <c r="BL260" i="13"/>
  <c r="BL265" i="13" s="1"/>
  <c r="BK265" i="13" s="1"/>
  <c r="BK259" i="13"/>
  <c r="Z6" i="5" s="1"/>
  <c r="Z6" i="21" s="1"/>
  <c r="BK268" i="13" l="1"/>
  <c r="Z4" i="5"/>
  <c r="Z4" i="21" s="1"/>
  <c r="H10" i="11"/>
  <c r="M47" i="11" s="1"/>
  <c r="BI321" i="13" l="1"/>
  <c r="BE158" i="13"/>
  <c r="I154" i="5" s="1"/>
  <c r="I154" i="21" s="1"/>
  <c r="BD260" i="13"/>
  <c r="BE259" i="13" s="1"/>
  <c r="BE251" i="13"/>
  <c r="I155" i="5" s="1"/>
  <c r="BI322" i="13"/>
  <c r="BE260" i="13" l="1"/>
  <c r="I155" i="21"/>
  <c r="I156" i="21"/>
  <c r="BR312" i="13"/>
  <c r="AC53" i="11" s="1"/>
  <c r="J6" i="21"/>
  <c r="K48" i="11"/>
  <c r="BF260" i="13"/>
  <c r="BF265" i="13" l="1"/>
  <c r="BE268" i="13" s="1"/>
  <c r="BE265" i="13" l="1"/>
  <c r="E8" i="5"/>
  <c r="E8" i="21" s="1"/>
  <c r="K10" i="11"/>
  <c r="D10" i="11"/>
  <c r="K47" i="11" s="1"/>
  <c r="L4" i="5"/>
  <c r="J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H9" authorId="0" shapeId="0" xr:uid="{30D6E5A2-4011-4BE2-B4D8-525E7394EDE5}">
      <text>
        <r>
          <rPr>
            <sz val="9"/>
            <color indexed="81"/>
            <rFont val="Tahoma"/>
            <family val="2"/>
          </rPr>
          <t>Contribution to score. 
0 c. 0% means number of credits achieved and contribution to score.</t>
        </r>
      </text>
    </comment>
    <comment ref="I9" authorId="0" shapeId="0" xr:uid="{F425A9A2-18E4-414B-9BBC-F48CC9B81F78}">
      <text>
        <r>
          <rPr>
            <sz val="9"/>
            <color indexed="81"/>
            <rFont val="Tahoma"/>
            <family val="2"/>
          </rPr>
          <t>Minimum standards level achieved</t>
        </r>
      </text>
    </comment>
    <comment ref="K9" authorId="0" shapeId="0" xr:uid="{F323149C-5FF4-4108-94F4-B5AE26B4E30F}">
      <text>
        <r>
          <rPr>
            <sz val="9"/>
            <color indexed="81"/>
            <rFont val="Tahoma"/>
            <family val="2"/>
          </rPr>
          <t>(</t>
        </r>
        <r>
          <rPr>
            <b/>
            <sz val="9"/>
            <color indexed="81"/>
            <rFont val="Tahoma"/>
            <family val="2"/>
          </rPr>
          <t>G) -</t>
        </r>
        <r>
          <rPr>
            <sz val="9"/>
            <color indexed="81"/>
            <rFont val="Tahoma"/>
            <family val="2"/>
          </rPr>
          <t xml:space="preserve"> Green - OK
</t>
        </r>
        <r>
          <rPr>
            <b/>
            <sz val="9"/>
            <color indexed="81"/>
            <rFont val="Tahoma"/>
            <family val="2"/>
          </rPr>
          <t xml:space="preserve">(Y) </t>
        </r>
        <r>
          <rPr>
            <sz val="9"/>
            <color indexed="81"/>
            <rFont val="Tahoma"/>
            <family val="2"/>
          </rPr>
          <t xml:space="preserve">- Yellow - Unsure
</t>
        </r>
        <r>
          <rPr>
            <b/>
            <sz val="9"/>
            <color indexed="81"/>
            <rFont val="Tahoma"/>
            <family val="2"/>
          </rPr>
          <t>(R) -</t>
        </r>
        <r>
          <rPr>
            <sz val="9"/>
            <color indexed="81"/>
            <rFont val="Tahoma"/>
            <family val="2"/>
          </rPr>
          <t xml:space="preserve"> Red - Not OK</t>
        </r>
        <r>
          <rPr>
            <b/>
            <sz val="9"/>
            <color indexed="81"/>
            <rFont val="Tahoma"/>
            <family val="2"/>
          </rPr>
          <t xml:space="preserve">
</t>
        </r>
        <r>
          <rPr>
            <sz val="9"/>
            <color indexed="81"/>
            <rFont val="Tahoma"/>
            <family val="2"/>
          </rPr>
          <t xml:space="preserve">
</t>
        </r>
      </text>
    </comment>
    <comment ref="O9" authorId="0" shapeId="0" xr:uid="{72353AB7-E94E-4018-A4F4-32381BCFBE23}">
      <text>
        <r>
          <rPr>
            <sz val="9"/>
            <color indexed="81"/>
            <rFont val="Tahoma"/>
            <family val="2"/>
          </rPr>
          <t>0 c. 0% means number of credits achieved and contribution to score.</t>
        </r>
        <r>
          <rPr>
            <sz val="9"/>
            <color indexed="81"/>
            <rFont val="Tahoma"/>
            <family val="2"/>
          </rPr>
          <t xml:space="preserve">
</t>
        </r>
      </text>
    </comment>
    <comment ref="V9" authorId="0" shapeId="0" xr:uid="{58D8B135-5C11-4997-A3D7-5AE08EB87F00}">
      <text>
        <r>
          <rPr>
            <sz val="9"/>
            <color indexed="81"/>
            <rFont val="Tahoma"/>
            <family val="2"/>
          </rPr>
          <t>0 c. 0% means number of credits achieved and contribution to score.</t>
        </r>
      </text>
    </comment>
    <comment ref="E48" authorId="0" shapeId="0" xr:uid="{253B3D45-5FEB-4C4D-B97C-1EE64C83FD38}">
      <text>
        <r>
          <rPr>
            <sz val="9"/>
            <color indexed="81"/>
            <rFont val="Tahoma"/>
            <family val="2"/>
          </rPr>
          <t>Requirement: Compliance with</t>
        </r>
        <r>
          <rPr>
            <b/>
            <sz val="9"/>
            <color indexed="81"/>
            <rFont val="Tahoma"/>
            <family val="2"/>
          </rPr>
          <t xml:space="preserve"> Mat 05</t>
        </r>
        <r>
          <rPr>
            <sz val="9"/>
            <color indexed="81"/>
            <rFont val="Tahoma"/>
            <family val="2"/>
          </rPr>
          <t xml:space="preserve"> </t>
        </r>
        <r>
          <rPr>
            <b/>
            <sz val="9"/>
            <color indexed="81"/>
            <rFont val="Tahoma"/>
            <family val="2"/>
          </rPr>
          <t xml:space="preserve">criteria 6–8 </t>
        </r>
        <r>
          <rPr>
            <sz val="9"/>
            <color indexed="81"/>
            <rFont val="Tahoma"/>
            <family val="2"/>
          </rPr>
          <t>Control plan and moisture measurements.</t>
        </r>
      </text>
    </comment>
    <comment ref="E68" authorId="0" shapeId="0" xr:uid="{18C746A1-0AE3-45F3-9838-043A6EA2652A}">
      <text>
        <r>
          <rPr>
            <sz val="9"/>
            <color indexed="81"/>
            <rFont val="Tahoma"/>
            <family val="2"/>
          </rPr>
          <t>Requirement: Hea 03 Thermal comfort: Thermal modelling (N/A for shell only. N/A for industrial building without an office area)</t>
        </r>
      </text>
    </comment>
    <comment ref="E136" authorId="0" shapeId="0" xr:uid="{787C9B7F-FF07-4CA5-B5ED-FC86A40CD8F7}">
      <text>
        <r>
          <rPr>
            <sz val="9"/>
            <color indexed="81"/>
            <rFont val="Tahoma"/>
            <family val="2"/>
          </rPr>
          <t xml:space="preserve">Requirement for </t>
        </r>
        <r>
          <rPr>
            <b/>
            <sz val="9"/>
            <color indexed="81"/>
            <rFont val="Tahoma"/>
            <family val="2"/>
          </rPr>
          <t xml:space="preserve">Hea 02 </t>
        </r>
        <r>
          <rPr>
            <sz val="9"/>
            <color indexed="81"/>
            <rFont val="Tahoma"/>
            <family val="2"/>
          </rPr>
          <t>Pre-requisite: A site-specific indoor air quality plan has been produced</t>
        </r>
      </text>
    </comment>
    <comment ref="E173" authorId="0" shapeId="0" xr:uid="{726317CC-8A2E-4A13-A0CB-B6320E89BAEF}">
      <text>
        <r>
          <rPr>
            <sz val="9"/>
            <color indexed="81"/>
            <rFont val="Tahoma"/>
            <family val="2"/>
          </rPr>
          <t>Requirement for LE 03 :Criteria 2–6 in LE 02 must have been achieved</t>
        </r>
      </text>
    </comment>
    <comment ref="E218" authorId="0" shapeId="0" xr:uid="{E5C9B72E-1444-4753-8B9F-4041CAE9350A}">
      <text>
        <r>
          <rPr>
            <b/>
            <sz val="9"/>
            <color indexed="81"/>
            <rFont val="Tahoma"/>
            <family val="2"/>
          </rPr>
          <t>Requirement:</t>
        </r>
        <r>
          <rPr>
            <sz val="9"/>
            <color indexed="81"/>
            <rFont val="Tahoma"/>
            <family val="2"/>
          </rPr>
          <t xml:space="preserve">
Ene 01: Prediction of operational energy consumption 
Ene 02: Energy monitoring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Oddbjørn Dahlstrøm</author>
    <author>Oddbjørn Dahlstrøm Andvik</author>
  </authors>
  <commentList>
    <comment ref="AB62" authorId="0" shapeId="0" xr:uid="{00000000-0006-0000-0300-000001000000}">
      <text>
        <r>
          <rPr>
            <sz val="9"/>
            <color indexed="81"/>
            <rFont val="Tahoma"/>
            <family val="2"/>
          </rPr>
          <t>Må være slik for å få manuell filtrering ved Bespokt til å fungere</t>
        </r>
      </text>
    </comment>
    <comment ref="F79" authorId="1" shapeId="0" xr:uid="{443B899F-3E52-4437-A113-E2063BB823B0}">
      <text>
        <r>
          <rPr>
            <b/>
            <sz val="9"/>
            <color indexed="81"/>
            <rFont val="Tahoma"/>
            <family val="2"/>
          </rPr>
          <t>Skal være 1</t>
        </r>
        <r>
          <rPr>
            <sz val="9"/>
            <color indexed="81"/>
            <rFont val="Tahoma"/>
            <family val="2"/>
          </rPr>
          <t xml:space="preserve">
</t>
        </r>
      </text>
    </comment>
    <comment ref="G79" authorId="1" shapeId="0" xr:uid="{5CF6CBF8-C714-4294-B802-308024A0E07F}">
      <text>
        <r>
          <rPr>
            <b/>
            <sz val="9"/>
            <color indexed="81"/>
            <rFont val="Tahoma"/>
            <family val="2"/>
          </rPr>
          <t>Skal være 1</t>
        </r>
        <r>
          <rPr>
            <sz val="9"/>
            <color indexed="81"/>
            <rFont val="Tahoma"/>
            <family val="2"/>
          </rPr>
          <t xml:space="preserve">
</t>
        </r>
      </text>
    </comment>
    <comment ref="H79" authorId="1" shapeId="0" xr:uid="{A7A24F0F-9C85-4CD8-9F37-A4CA70F9C766}">
      <text>
        <r>
          <rPr>
            <b/>
            <sz val="9"/>
            <color indexed="81"/>
            <rFont val="Tahoma"/>
            <family val="2"/>
          </rPr>
          <t>Skal være 1</t>
        </r>
        <r>
          <rPr>
            <sz val="9"/>
            <color indexed="81"/>
            <rFont val="Tahoma"/>
            <family val="2"/>
          </rPr>
          <t xml:space="preserve">
</t>
        </r>
      </text>
    </comment>
    <comment ref="I79" authorId="1" shapeId="0" xr:uid="{5A397767-B974-492E-BE9E-979C7004A2BC}">
      <text>
        <r>
          <rPr>
            <b/>
            <sz val="9"/>
            <color indexed="81"/>
            <rFont val="Tahoma"/>
            <family val="2"/>
          </rPr>
          <t>Skal være 1</t>
        </r>
        <r>
          <rPr>
            <sz val="9"/>
            <color indexed="81"/>
            <rFont val="Tahoma"/>
            <family val="2"/>
          </rPr>
          <t xml:space="preserve">
</t>
        </r>
      </text>
    </comment>
    <comment ref="J79" authorId="1" shapeId="0" xr:uid="{99A478BC-B705-4717-904C-B484569AD718}">
      <text>
        <r>
          <rPr>
            <b/>
            <sz val="9"/>
            <color indexed="81"/>
            <rFont val="Tahoma"/>
            <family val="2"/>
          </rPr>
          <t>Skal være 1</t>
        </r>
        <r>
          <rPr>
            <sz val="9"/>
            <color indexed="81"/>
            <rFont val="Tahoma"/>
            <family val="2"/>
          </rPr>
          <t xml:space="preserve">
</t>
        </r>
      </text>
    </comment>
    <comment ref="K79" authorId="1" shapeId="0" xr:uid="{33F3245B-923B-4646-AE09-696883125E15}">
      <text>
        <r>
          <rPr>
            <b/>
            <sz val="9"/>
            <color indexed="81"/>
            <rFont val="Tahoma"/>
            <family val="2"/>
          </rPr>
          <t>Skal være 1</t>
        </r>
        <r>
          <rPr>
            <sz val="9"/>
            <color indexed="81"/>
            <rFont val="Tahoma"/>
            <family val="2"/>
          </rPr>
          <t xml:space="preserve">
</t>
        </r>
      </text>
    </comment>
    <comment ref="L79" authorId="1" shapeId="0" xr:uid="{F8A6BD9A-25BD-4749-BAB0-7E28E7D6BC89}">
      <text>
        <r>
          <rPr>
            <b/>
            <sz val="9"/>
            <color indexed="81"/>
            <rFont val="Tahoma"/>
            <family val="2"/>
          </rPr>
          <t>Skal være 1</t>
        </r>
        <r>
          <rPr>
            <sz val="9"/>
            <color indexed="81"/>
            <rFont val="Tahoma"/>
            <family val="2"/>
          </rPr>
          <t xml:space="preserve">
</t>
        </r>
      </text>
    </comment>
    <comment ref="M79" authorId="1" shapeId="0" xr:uid="{60F5FF42-633E-4D84-BB49-9704BF9ED20C}">
      <text>
        <r>
          <rPr>
            <b/>
            <sz val="9"/>
            <color indexed="81"/>
            <rFont val="Tahoma"/>
            <family val="2"/>
          </rPr>
          <t>Skal være 1</t>
        </r>
        <r>
          <rPr>
            <sz val="9"/>
            <color indexed="81"/>
            <rFont val="Tahoma"/>
            <family val="2"/>
          </rPr>
          <t xml:space="preserve">
</t>
        </r>
      </text>
    </comment>
    <comment ref="N79" authorId="1" shapeId="0" xr:uid="{D9769830-0832-49ED-A0B4-571B9B17A365}">
      <text>
        <r>
          <rPr>
            <b/>
            <sz val="9"/>
            <color indexed="81"/>
            <rFont val="Tahoma"/>
            <family val="2"/>
          </rPr>
          <t>Skal være 1</t>
        </r>
        <r>
          <rPr>
            <sz val="9"/>
            <color indexed="81"/>
            <rFont val="Tahoma"/>
            <family val="2"/>
          </rPr>
          <t xml:space="preserve">
</t>
        </r>
      </text>
    </comment>
    <comment ref="O79" authorId="1" shapeId="0" xr:uid="{7E448815-A28D-4AE5-8953-13D2BD3643E0}">
      <text>
        <r>
          <rPr>
            <b/>
            <sz val="9"/>
            <color indexed="81"/>
            <rFont val="Tahoma"/>
            <family val="2"/>
          </rPr>
          <t>Skal være 1</t>
        </r>
        <r>
          <rPr>
            <sz val="9"/>
            <color indexed="81"/>
            <rFont val="Tahoma"/>
            <family val="2"/>
          </rPr>
          <t xml:space="preserve">
</t>
        </r>
      </text>
    </comment>
    <comment ref="P79" authorId="1" shapeId="0" xr:uid="{032BE33F-1AEF-4F1B-B478-7D777E336E32}">
      <text>
        <r>
          <rPr>
            <b/>
            <sz val="9"/>
            <color indexed="81"/>
            <rFont val="Tahoma"/>
            <family val="2"/>
          </rPr>
          <t>Skal være 1</t>
        </r>
        <r>
          <rPr>
            <sz val="9"/>
            <color indexed="81"/>
            <rFont val="Tahoma"/>
            <family val="2"/>
          </rPr>
          <t xml:space="preserve">
</t>
        </r>
      </text>
    </comment>
    <comment ref="Q79" authorId="1" shapeId="0" xr:uid="{BF3967F9-09C2-4604-BB49-7A0551D9B0EE}">
      <text>
        <r>
          <rPr>
            <b/>
            <sz val="9"/>
            <color indexed="81"/>
            <rFont val="Tahoma"/>
            <family val="2"/>
          </rPr>
          <t>Skal være 1</t>
        </r>
        <r>
          <rPr>
            <sz val="9"/>
            <color indexed="81"/>
            <rFont val="Tahoma"/>
            <family val="2"/>
          </rPr>
          <t xml:space="preserve">
</t>
        </r>
      </text>
    </comment>
    <comment ref="R79" authorId="1" shapeId="0" xr:uid="{BB8D662A-8A58-4001-94F7-FEDE9B68BCD7}">
      <text>
        <r>
          <rPr>
            <b/>
            <sz val="9"/>
            <color indexed="81"/>
            <rFont val="Tahoma"/>
            <family val="2"/>
          </rPr>
          <t>Skal være 1</t>
        </r>
        <r>
          <rPr>
            <sz val="9"/>
            <color indexed="81"/>
            <rFont val="Tahoma"/>
            <family val="2"/>
          </rPr>
          <t xml:space="preserve">
</t>
        </r>
      </text>
    </comment>
    <comment ref="U101" authorId="1" shapeId="0" xr:uid="{7A97D175-62DB-4838-A19C-59B6F0991062}">
      <text>
        <r>
          <rPr>
            <sz val="9"/>
            <color indexed="81"/>
            <rFont val="Tahoma"/>
            <family val="2"/>
          </rPr>
          <t>filter kan nok slettes (08.11.21)</t>
        </r>
      </text>
    </comment>
    <comment ref="BP114" authorId="1" shapeId="0" xr:uid="{D613F3BC-1803-4D88-82A8-5D57FEECF737}">
      <text>
        <r>
          <rPr>
            <b/>
            <sz val="9"/>
            <color indexed="81"/>
            <rFont val="Tahoma"/>
            <family val="2"/>
          </rPr>
          <t>Oddbjørn Dahlstrøm Andvik:</t>
        </r>
        <r>
          <rPr>
            <sz val="9"/>
            <color indexed="81"/>
            <rFont val="Tahoma"/>
            <family val="2"/>
          </rPr>
          <t xml:space="preserve">
setter til 0</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<sst xmlns="http://schemas.openxmlformats.org/spreadsheetml/2006/main" count="4542" uniqueCount="1174">
  <si>
    <t xml:space="preserve"> </t>
  </si>
  <si>
    <t>Construction</t>
  </si>
  <si>
    <t>Current Version</t>
  </si>
  <si>
    <t>Previous Versions</t>
  </si>
  <si>
    <t>Mat01</t>
  </si>
  <si>
    <t>Version</t>
  </si>
  <si>
    <t>Release Date</t>
  </si>
  <si>
    <t>Copyright</t>
  </si>
  <si>
    <t>Date</t>
  </si>
  <si>
    <t>Residential</t>
  </si>
  <si>
    <t>Building contains multiple tenants/departments/function areas</t>
  </si>
  <si>
    <t>MANAGEMENT</t>
  </si>
  <si>
    <t>Yes</t>
  </si>
  <si>
    <t>No</t>
  </si>
  <si>
    <t>N/A</t>
  </si>
  <si>
    <t>No. of BREEAM credits available</t>
  </si>
  <si>
    <t>BRE Assessment reference no.</t>
  </si>
  <si>
    <t>Client name</t>
  </si>
  <si>
    <t>Building end user/occupier</t>
  </si>
  <si>
    <t>Assessor name</t>
  </si>
  <si>
    <t>Building details</t>
  </si>
  <si>
    <t>Building name</t>
  </si>
  <si>
    <t>Building address</t>
  </si>
  <si>
    <t>Building type (sub-group)</t>
  </si>
  <si>
    <t>Project type</t>
  </si>
  <si>
    <t>Assessment stage</t>
  </si>
  <si>
    <t>Project team details</t>
  </si>
  <si>
    <t>Developer</t>
  </si>
  <si>
    <t>Principal contractor</t>
  </si>
  <si>
    <t>Project management</t>
  </si>
  <si>
    <t>Office</t>
  </si>
  <si>
    <t>Industrial</t>
  </si>
  <si>
    <t>Retail</t>
  </si>
  <si>
    <t>Education</t>
  </si>
  <si>
    <t>Post Construction (Final, as-built)</t>
  </si>
  <si>
    <t>New Construction (fully fitted)</t>
  </si>
  <si>
    <t>No laboratory</t>
  </si>
  <si>
    <t>Cat Level 2</t>
  </si>
  <si>
    <t>Cat Level 3</t>
  </si>
  <si>
    <t>Cat Level 1 only</t>
  </si>
  <si>
    <t>Assessor organisation</t>
  </si>
  <si>
    <t>New Construction</t>
  </si>
  <si>
    <t>Credits</t>
  </si>
  <si>
    <t>ENERGY</t>
  </si>
  <si>
    <t>HEALTH &amp; WELLBEING</t>
  </si>
  <si>
    <t>Option not applicable to building type</t>
  </si>
  <si>
    <t>General information</t>
  </si>
  <si>
    <t>BREEAM assessor declaration of assessment accuracy and quality</t>
  </si>
  <si>
    <t>Minimum standards level achieved</t>
  </si>
  <si>
    <t>Please select:</t>
  </si>
  <si>
    <t>Minimum standard(s) level</t>
  </si>
  <si>
    <t>Building type (main description)</t>
  </si>
  <si>
    <t>TRANSPORT</t>
  </si>
  <si>
    <t>WATER</t>
  </si>
  <si>
    <t>MATERIALS</t>
  </si>
  <si>
    <t>WASTE</t>
  </si>
  <si>
    <t>LAND USE &amp; ECOLOGY</t>
  </si>
  <si>
    <t>POLLUTION</t>
  </si>
  <si>
    <t>Water</t>
  </si>
  <si>
    <t>Overall Building Performance</t>
  </si>
  <si>
    <t>Building Performance by Environment Section</t>
  </si>
  <si>
    <t>Management</t>
  </si>
  <si>
    <t>% credits achieved</t>
  </si>
  <si>
    <t>No. credits available</t>
  </si>
  <si>
    <t>Health &amp; Wellbeing</t>
  </si>
  <si>
    <t>Energy</t>
  </si>
  <si>
    <t>Transport</t>
  </si>
  <si>
    <t>Materials</t>
  </si>
  <si>
    <t>Waste</t>
  </si>
  <si>
    <t>Land Use &amp; Ecology</t>
  </si>
  <si>
    <t>Pollution</t>
  </si>
  <si>
    <t>Innovation</t>
  </si>
  <si>
    <t>Unclassified</t>
  </si>
  <si>
    <t>Environmental Section</t>
  </si>
  <si>
    <t>Pass</t>
  </si>
  <si>
    <t>Good</t>
  </si>
  <si>
    <t>Very Good</t>
  </si>
  <si>
    <t>Excellent</t>
  </si>
  <si>
    <t>Outstanding</t>
  </si>
  <si>
    <t>Min. standards level achieved</t>
  </si>
  <si>
    <t>Available contribution to overall score</t>
  </si>
  <si>
    <t>Total contribution to overall building score</t>
  </si>
  <si>
    <t>Pre-assessment</t>
  </si>
  <si>
    <t>Total indicative environmental section performance</t>
  </si>
  <si>
    <t>Indicative total score</t>
  </si>
  <si>
    <t>Navn</t>
  </si>
  <si>
    <t>Issues in BREEAM-NOR v. 1.1</t>
  </si>
  <si>
    <t>P</t>
  </si>
  <si>
    <t>G</t>
  </si>
  <si>
    <t>VG</t>
  </si>
  <si>
    <t>O</t>
  </si>
  <si>
    <t>Man 01</t>
  </si>
  <si>
    <t>Man 02</t>
  </si>
  <si>
    <t>Man 03</t>
  </si>
  <si>
    <t>Man 04</t>
  </si>
  <si>
    <t>Man 05</t>
  </si>
  <si>
    <t>Man 06</t>
  </si>
  <si>
    <t>Man 07</t>
  </si>
  <si>
    <t>Kode</t>
  </si>
  <si>
    <t>Valgt bygg</t>
  </si>
  <si>
    <t>Available credits</t>
  </si>
  <si>
    <t>Contribution to score</t>
  </si>
  <si>
    <t>Total performance management</t>
  </si>
  <si>
    <t>Total performance health &amp; wellbeing</t>
  </si>
  <si>
    <t>Total performance energy</t>
  </si>
  <si>
    <t>Total performance transport</t>
  </si>
  <si>
    <t>Total performance water</t>
  </si>
  <si>
    <t>Total performance materials</t>
  </si>
  <si>
    <t>Total performance waste</t>
  </si>
  <si>
    <t>Total performance land use and ecology</t>
  </si>
  <si>
    <t>Total performance pollution</t>
  </si>
  <si>
    <t>Hea 02 Indoor air quality</t>
  </si>
  <si>
    <t>Hea 03 Thermal comfort</t>
  </si>
  <si>
    <t>Hea 06 Safe access</t>
  </si>
  <si>
    <t>Hea 01 Visual comfort</t>
  </si>
  <si>
    <t>Hea 08 Private space</t>
  </si>
  <si>
    <t>Hea 01</t>
  </si>
  <si>
    <t>Hea 02</t>
  </si>
  <si>
    <t>Hea 03</t>
  </si>
  <si>
    <t>Hea 04</t>
  </si>
  <si>
    <t>Hea 05</t>
  </si>
  <si>
    <t>Hea 06</t>
  </si>
  <si>
    <t>Hea 07</t>
  </si>
  <si>
    <t>Hea 08</t>
  </si>
  <si>
    <t>Hea 09</t>
  </si>
  <si>
    <t>Hea</t>
  </si>
  <si>
    <t>Hea 05 Acoustic performance</t>
  </si>
  <si>
    <t>Ene 01 Energy efficiency</t>
  </si>
  <si>
    <t>Ene 03 External lighting</t>
  </si>
  <si>
    <t>Ene 05 Energy efficient cold storage</t>
  </si>
  <si>
    <t>Ene 06 Energy efficient transportation systems</t>
  </si>
  <si>
    <t>Ene 07 Energy Efficient Laboratory Systems</t>
  </si>
  <si>
    <t>Ene 08 Energy efficient equipment</t>
  </si>
  <si>
    <t>Ene 02 Energy monitoring</t>
  </si>
  <si>
    <t>Ene 01</t>
  </si>
  <si>
    <t>Ene 02</t>
  </si>
  <si>
    <t>Ene 03</t>
  </si>
  <si>
    <t>Ene 04</t>
  </si>
  <si>
    <t>Ene 05</t>
  </si>
  <si>
    <t>Ene 06</t>
  </si>
  <si>
    <t>Ene 07</t>
  </si>
  <si>
    <t>Ene 08</t>
  </si>
  <si>
    <t>Ene 09</t>
  </si>
  <si>
    <t>Ene 23</t>
  </si>
  <si>
    <t>Tra 01 Public transport accessibility</t>
  </si>
  <si>
    <t>Tra 02 Proximity to amenities</t>
  </si>
  <si>
    <t>Tra 01</t>
  </si>
  <si>
    <t>Tra 02</t>
  </si>
  <si>
    <t>Tra 03</t>
  </si>
  <si>
    <t>Tra 04</t>
  </si>
  <si>
    <t>Tra 05</t>
  </si>
  <si>
    <t>Wat 01 Water consumption</t>
  </si>
  <si>
    <t>Wat 02 Water monitoring</t>
  </si>
  <si>
    <t>Wat 03 Water leak detection and prevention</t>
  </si>
  <si>
    <t>Wat 04 Water efficient equipment</t>
  </si>
  <si>
    <t>Mat 01 Life cycle impacts</t>
  </si>
  <si>
    <t>Mat 03 Responsible sourcing of materials</t>
  </si>
  <si>
    <t>Mat 05 Designing for robustness</t>
  </si>
  <si>
    <t>Wst 01 Construction waste management</t>
  </si>
  <si>
    <t>LE 01 Site selection</t>
  </si>
  <si>
    <t>LE 02 Ecological value of site and protection of ecological features</t>
  </si>
  <si>
    <t>LE 04 Enhancing site ecology</t>
  </si>
  <si>
    <t>LE 05 Long term impact on biodiversity</t>
  </si>
  <si>
    <t>POL 01 Impacts of refrigerants</t>
  </si>
  <si>
    <t>POL 04 Reduction of night time light pollution</t>
  </si>
  <si>
    <t>Wst 03 Operational waste</t>
  </si>
  <si>
    <t>LE 06 Building footprint</t>
  </si>
  <si>
    <t>POL 05 Noise attenuation</t>
  </si>
  <si>
    <t>Wat 01</t>
  </si>
  <si>
    <t>Wat 02</t>
  </si>
  <si>
    <t>Wat 03</t>
  </si>
  <si>
    <t>Wat 04</t>
  </si>
  <si>
    <t>Mat 01</t>
  </si>
  <si>
    <t>Mat 03</t>
  </si>
  <si>
    <t>Mat 05</t>
  </si>
  <si>
    <t>Mat 06</t>
  </si>
  <si>
    <t>Wst 01</t>
  </si>
  <si>
    <t>Wst 02</t>
  </si>
  <si>
    <t>Wst 04</t>
  </si>
  <si>
    <t>LE 01</t>
  </si>
  <si>
    <t>LE 02</t>
  </si>
  <si>
    <t>LE 04</t>
  </si>
  <si>
    <t>LE 05</t>
  </si>
  <si>
    <t>LE 06</t>
  </si>
  <si>
    <t>POL 01</t>
  </si>
  <si>
    <t>POL 02</t>
  </si>
  <si>
    <t>POL 03</t>
  </si>
  <si>
    <t>POL 04</t>
  </si>
  <si>
    <t>POL 05</t>
  </si>
  <si>
    <t>Inn 01</t>
  </si>
  <si>
    <t>Inn 02</t>
  </si>
  <si>
    <t>Inn 03</t>
  </si>
  <si>
    <t>Inn 04</t>
  </si>
  <si>
    <t>Inn 05</t>
  </si>
  <si>
    <t>Inn 06</t>
  </si>
  <si>
    <t>Inn 07</t>
  </si>
  <si>
    <t>Assessor registration number</t>
  </si>
  <si>
    <t>Date for Pre-Assessment Estimation</t>
  </si>
  <si>
    <t>Date for design phase</t>
  </si>
  <si>
    <t>Completion Date</t>
  </si>
  <si>
    <t>Disclaimer</t>
  </si>
  <si>
    <t>Credits Achieved</t>
  </si>
  <si>
    <t>Weighting</t>
  </si>
  <si>
    <t>Man</t>
  </si>
  <si>
    <t>Ene</t>
  </si>
  <si>
    <t>Tra</t>
  </si>
  <si>
    <t>Wat</t>
  </si>
  <si>
    <t>Mat</t>
  </si>
  <si>
    <t>Wst</t>
  </si>
  <si>
    <t>LE</t>
  </si>
  <si>
    <t>Pol</t>
  </si>
  <si>
    <t>Inn</t>
  </si>
  <si>
    <t>Section score available</t>
  </si>
  <si>
    <t>Sum</t>
  </si>
  <si>
    <t>Wst 04 Speculative floor and ceiling finishes</t>
  </si>
  <si>
    <t>Initial target setting</t>
  </si>
  <si>
    <t>Exemplary Level (Innovation)</t>
  </si>
  <si>
    <t>N</t>
  </si>
  <si>
    <t>I</t>
  </si>
  <si>
    <t>OK</t>
  </si>
  <si>
    <t>Design phase progression</t>
  </si>
  <si>
    <t>Construction phase progression</t>
  </si>
  <si>
    <t>General comments</t>
  </si>
  <si>
    <t>Inn 08</t>
  </si>
  <si>
    <t>Land &amp; Ecology</t>
  </si>
  <si>
    <t>BREEAM innovation credits</t>
  </si>
  <si>
    <t>Emner med innovation credits</t>
  </si>
  <si>
    <t xml:space="preserve">Original no. of BREEAM credits available </t>
  </si>
  <si>
    <t>Div filter</t>
  </si>
  <si>
    <t>User credits - INITIAL</t>
  </si>
  <si>
    <t>User credits - DESIGN</t>
  </si>
  <si>
    <t>User credits - CONSTRUCTION</t>
  </si>
  <si>
    <t>Spesialtilfeller</t>
  </si>
  <si>
    <t>Yes/No</t>
  </si>
  <si>
    <t>-</t>
  </si>
  <si>
    <t>E</t>
  </si>
  <si>
    <t>Non residential</t>
  </si>
  <si>
    <t>Level</t>
  </si>
  <si>
    <t>Samlet minimumstandard</t>
  </si>
  <si>
    <t>Samlet sum tilgjengelig</t>
  </si>
  <si>
    <t>Samlet sum oppnådd</t>
  </si>
  <si>
    <t>&gt;=</t>
  </si>
  <si>
    <t>&lt;</t>
  </si>
  <si>
    <t>Samlet prosent</t>
  </si>
  <si>
    <t>Skal minimumstandard styre?</t>
  </si>
  <si>
    <t>1=ja, 0=nei</t>
  </si>
  <si>
    <t>The rating has been limited to the min. standards level achieved</t>
  </si>
  <si>
    <t>Tilgjengelig poeng</t>
  </si>
  <si>
    <t>Inn 05 - Mat 01 Life cycle impacts</t>
  </si>
  <si>
    <t>Inn 06 - Mat 03 Responsible sourcing of materials</t>
  </si>
  <si>
    <t>Hvor mange poeng skal bort?</t>
  </si>
  <si>
    <t>Felter merket mørk grønn omfattes av filtreringen</t>
  </si>
  <si>
    <t>Ene 02a</t>
  </si>
  <si>
    <t>Inn 09</t>
  </si>
  <si>
    <t>EXEMPLARY LEVEL AND INNOVATION (max 10 credits)</t>
  </si>
  <si>
    <t>Velge farge på status</t>
  </si>
  <si>
    <t>IT</t>
  </si>
  <si>
    <t>DP</t>
  </si>
  <si>
    <t>CP</t>
  </si>
  <si>
    <t>Stat.</t>
  </si>
  <si>
    <t>Comments</t>
  </si>
  <si>
    <t>Hea 01 Visual comfort - Criteria 1</t>
  </si>
  <si>
    <t>Mat 01 Life cycle impacts  - Criteria 1</t>
  </si>
  <si>
    <t>ikke noe å si for poengfordeling.  Ikke gjør noe med denne</t>
  </si>
  <si>
    <t>Architect (ARK)</t>
  </si>
  <si>
    <t>Samlet poeng</t>
  </si>
  <si>
    <t xml:space="preserve">Pol 1 poeng går ut hvis det er industri som hverkan har treated operational area OG kontor. Dvs det må være nei på BEGGE spørsmål får å ta ut Pol 1 poeng. </t>
  </si>
  <si>
    <t>Pol 1 poeng går ut hvis det er industri som hverkan har treated operational area OG kontor. Dvs det må være nei på BEGGE spørsmål får å ta ut Pol 1 poeng. Hea 03 går ut hvis industri ikke har kontor</t>
  </si>
  <si>
    <t>UTGÅR</t>
  </si>
  <si>
    <t>OK. non residential only.</t>
  </si>
  <si>
    <t>2: Bespoke. Staff plus reasonably constant stream of visitors</t>
  </si>
  <si>
    <t>6: Residential</t>
  </si>
  <si>
    <t>1: Office &amp; Industrial. Staff &amp; occasional business visitors</t>
  </si>
  <si>
    <t>3: Retail and education. Staff with large numbers of visitors</t>
  </si>
  <si>
    <t>4: Bespoke. Rural building with few visitors</t>
  </si>
  <si>
    <t>5: Bespoke. Rural building with large numbers of visitors</t>
  </si>
  <si>
    <t>7: Bespoke. Transport Hub</t>
  </si>
  <si>
    <t>OK. type 3 retail and education, type 6 ta bort dwellings TA UT BESPOKE? Ta ut denne, da poeng er bestemt av bygningstype</t>
  </si>
  <si>
    <t>This information will determine, in part, the number of credits available for BREEAM issue Hea02 when the criteria have been finalised for laboratory facilities.</t>
  </si>
  <si>
    <t>The fields marked with a * are mandatory and must be completed/defined prior to beginning the pre-assessment to ensure an accurate indicative score and BREEAM rating. Note: without this information the pre-assessment tool cannot determine the applicable BREEAM issues and number of credits and data entry will not be possible for the building assessment.</t>
  </si>
  <si>
    <t>Initial</t>
  </si>
  <si>
    <t>Design</t>
  </si>
  <si>
    <t>Søke navn</t>
  </si>
  <si>
    <t>Design phase</t>
  </si>
  <si>
    <t>Construction phase</t>
  </si>
  <si>
    <t>Score</t>
  </si>
  <si>
    <t>No. credits available original</t>
  </si>
  <si>
    <t>No. Credits not available (filter)</t>
  </si>
  <si>
    <t>Fume cupboard(s) and/or other containment devices (Ene 07, Hea 02,? )</t>
  </si>
  <si>
    <t>What is the building type category (for the purpose of the Transport  section)? (Tra 1)</t>
  </si>
  <si>
    <t>Laboratory present: &lt;10% of building's BRA</t>
  </si>
  <si>
    <t>Laboratory present: ≥10% - &lt;25% of building's BRA</t>
  </si>
  <si>
    <t>Laboratory present: ≥25% of building's BRA</t>
  </si>
  <si>
    <t>(G)</t>
  </si>
  <si>
    <t>(Y)</t>
  </si>
  <si>
    <t>(R)</t>
  </si>
  <si>
    <t>(G) - Green - OK</t>
  </si>
  <si>
    <t>(Y) - Yellow - Unsure</t>
  </si>
  <si>
    <t>(R) - Red - Not OK</t>
  </si>
  <si>
    <t>Respon-sible</t>
  </si>
  <si>
    <t>Show results</t>
  </si>
  <si>
    <t>Available</t>
  </si>
  <si>
    <r>
      <t>Gross floor area, BTA - m</t>
    </r>
    <r>
      <rPr>
        <vertAlign val="superscript"/>
        <sz val="11"/>
        <color indexed="9"/>
        <rFont val="Calibri"/>
        <family val="2"/>
      </rPr>
      <t>2</t>
    </r>
  </si>
  <si>
    <r>
      <t>Usable floor area, BRA - m</t>
    </r>
    <r>
      <rPr>
        <vertAlign val="superscript"/>
        <sz val="11"/>
        <color indexed="9"/>
        <rFont val="Calibri"/>
        <family val="2"/>
      </rPr>
      <t>2</t>
    </r>
  </si>
  <si>
    <r>
      <t>Saleable usable floor area, BRAs - m</t>
    </r>
    <r>
      <rPr>
        <vertAlign val="superscript"/>
        <sz val="11"/>
        <color indexed="9"/>
        <rFont val="Calibri"/>
        <family val="2"/>
      </rPr>
      <t>2</t>
    </r>
  </si>
  <si>
    <t>Man 01 Project brief and design</t>
  </si>
  <si>
    <t>Man 02 Life cycle cost and service life planning</t>
  </si>
  <si>
    <t>Man 03 Responsible construction practices</t>
  </si>
  <si>
    <t>Man 05 Aftercare</t>
  </si>
  <si>
    <t>Mat 03 Responsible sourcing of mat.  - Crit 1.</t>
  </si>
  <si>
    <t xml:space="preserve">Copyright exists on the BREEAM logo and this may not be used or reproduced for any purpose without the prior written consent of the NGBC/BRE Global Ltd.
</t>
  </si>
  <si>
    <t>BREEAM-NOR Assessor Signature</t>
  </si>
  <si>
    <t>Indicative BREEAM-NOR rating</t>
  </si>
  <si>
    <t>Tra 06</t>
  </si>
  <si>
    <t xml:space="preserve">Approved innovation credits </t>
  </si>
  <si>
    <t>Consulting engineer Engineering (RIB)</t>
  </si>
  <si>
    <t>Consulting engineer Environment (RIM)</t>
  </si>
  <si>
    <t>Consulting engineer Electrical (RIE)</t>
  </si>
  <si>
    <t>Consulting engineer HVAC (RIV)</t>
  </si>
  <si>
    <t>BREEAM-NOR Accredited Professional</t>
  </si>
  <si>
    <t>BREEAM-NOR scheme</t>
  </si>
  <si>
    <t>BREEAM-NOR version</t>
  </si>
  <si>
    <t>Showroom</t>
  </si>
  <si>
    <t>Apartment Blocks</t>
  </si>
  <si>
    <t>Individual dwelling</t>
  </si>
  <si>
    <t>Collection of individual dwellings/dwelling types</t>
  </si>
  <si>
    <t>Hot food takeaway</t>
  </si>
  <si>
    <t>No, confirmed by appropriate person</t>
  </si>
  <si>
    <t>Unknown</t>
  </si>
  <si>
    <t>Does the building require the use of refrigerants within its installed plant/systems? (Pol 01)</t>
  </si>
  <si>
    <t>Others, project team</t>
  </si>
  <si>
    <t>Use this sheet if you need to copy the Pre-Assessment Estimator to new Excel Workbook</t>
  </si>
  <si>
    <t>For assessment details, HEA 07</t>
  </si>
  <si>
    <t>Please select</t>
  </si>
  <si>
    <t>Bespoke</t>
  </si>
  <si>
    <t>Inn 01 - Man 05 Aftercare</t>
  </si>
  <si>
    <t>Inn 02 - Hea 02 Indoor air quality</t>
  </si>
  <si>
    <t>Inn 03 - Tra 03 Alternative modes of transport</t>
  </si>
  <si>
    <t>Inn 04 - Wat 01 Water consumption</t>
  </si>
  <si>
    <t>Inn 07 - Wst 01 Construction site waste man.</t>
  </si>
  <si>
    <t xml:space="preserve">Inn 09 - Approved innovation credits </t>
  </si>
  <si>
    <t>BREEAM REFERANSE</t>
  </si>
  <si>
    <t>BREEAM-Topic EMNE</t>
  </si>
  <si>
    <t>Available credits TILGJENGELIGE POENG</t>
  </si>
  <si>
    <t>Is credits relevant for the project? Yes/No POENG AKTUELLE FOR PROSJEKTET? JA/NEI</t>
  </si>
  <si>
    <t>Ledelse:</t>
  </si>
  <si>
    <t>YES</t>
  </si>
  <si>
    <t>Responsible construction practices</t>
  </si>
  <si>
    <t>Commissioning and handover</t>
  </si>
  <si>
    <t>Aftercare</t>
  </si>
  <si>
    <t>Helse og innemiljø:</t>
  </si>
  <si>
    <t>NO</t>
  </si>
  <si>
    <t>Private space</t>
  </si>
  <si>
    <t>Energi:</t>
  </si>
  <si>
    <t>Ene 02b</t>
  </si>
  <si>
    <t>External Lighting</t>
  </si>
  <si>
    <t>Energy efficient cold storage</t>
  </si>
  <si>
    <t>Energy efficient transportation systems</t>
  </si>
  <si>
    <t>Energy efficient laboratory systems</t>
  </si>
  <si>
    <t>Energy efficient equipment</t>
  </si>
  <si>
    <t>Transport:</t>
  </si>
  <si>
    <t>Tra 03a</t>
  </si>
  <si>
    <t>Tra 03b</t>
  </si>
  <si>
    <t>Vann:</t>
  </si>
  <si>
    <t>Water consumption</t>
  </si>
  <si>
    <t>Water monitoring</t>
  </si>
  <si>
    <t>Water leak detection and prevention</t>
  </si>
  <si>
    <t>Water efficient equipment</t>
  </si>
  <si>
    <t>Materialer:</t>
  </si>
  <si>
    <t>Designing for robustness</t>
  </si>
  <si>
    <t>Avfall:</t>
  </si>
  <si>
    <t>Construction waste management</t>
  </si>
  <si>
    <t>Wst 03a</t>
  </si>
  <si>
    <t>Operational waste</t>
  </si>
  <si>
    <t>Wst 03b</t>
  </si>
  <si>
    <t>Speculative floor &amp; ceiling finishes</t>
  </si>
  <si>
    <t>Arealbruk og økologi:</t>
  </si>
  <si>
    <t>Site selection</t>
  </si>
  <si>
    <t>Long term impact on biodiversity</t>
  </si>
  <si>
    <t>Forurensning:</t>
  </si>
  <si>
    <t>Pol 01</t>
  </si>
  <si>
    <t>Impact of refrigerants</t>
  </si>
  <si>
    <t>Pol 02</t>
  </si>
  <si>
    <t>Pol 03</t>
  </si>
  <si>
    <t>Pol 04</t>
  </si>
  <si>
    <t xml:space="preserve">Reduction of Night Time Light Pollution </t>
  </si>
  <si>
    <t>Pol 05</t>
  </si>
  <si>
    <t>Reduction of noise pollution</t>
  </si>
  <si>
    <t>Innovasjon:</t>
  </si>
  <si>
    <t>BESPOKE</t>
  </si>
  <si>
    <t>TEST</t>
  </si>
  <si>
    <t>Lim inn her</t>
  </si>
  <si>
    <t>Building name:</t>
  </si>
  <si>
    <t>Land use &amp; Ecology</t>
  </si>
  <si>
    <t>Exemplary level and innovation (max 10 credits)</t>
  </si>
  <si>
    <t>Man 04 Commissioning and handover</t>
  </si>
  <si>
    <t>POL 02 NOx emissions</t>
  </si>
  <si>
    <t>Building description</t>
  </si>
  <si>
    <t>Comment</t>
  </si>
  <si>
    <t>Pre-Assessment Estimator, version:</t>
  </si>
  <si>
    <t>The BREEAM and BREEAM-NOR name and logo are registered trademarks of the Building Research Establishment Limited.</t>
  </si>
  <si>
    <t>Inn 08 - Wst 02 Recycled aggregates</t>
  </si>
  <si>
    <t>Shell and core</t>
  </si>
  <si>
    <t>Ja</t>
  </si>
  <si>
    <t>Nei</t>
  </si>
  <si>
    <t>Option 1</t>
  </si>
  <si>
    <t>Option 2</t>
  </si>
  <si>
    <t>Option 3</t>
  </si>
  <si>
    <t>Næringsbygg</t>
  </si>
  <si>
    <t>Option 2:  -50% credit</t>
  </si>
  <si>
    <t xml:space="preserve">Naturally ventilated </t>
  </si>
  <si>
    <t>Shell core</t>
  </si>
  <si>
    <t>HEA 01</t>
  </si>
  <si>
    <t>HEA 02</t>
  </si>
  <si>
    <t>ENE 02a</t>
  </si>
  <si>
    <t>WAT 03</t>
  </si>
  <si>
    <t>ledig</t>
  </si>
  <si>
    <t>Faktor</t>
  </si>
  <si>
    <t>minus</t>
  </si>
  <si>
    <t>Hva</t>
  </si>
  <si>
    <t>Maks</t>
  </si>
  <si>
    <t>gange</t>
  </si>
  <si>
    <t>S/C</t>
  </si>
  <si>
    <t>Shell/core</t>
  </si>
  <si>
    <t>Endring</t>
  </si>
  <si>
    <t>Shell Core</t>
  </si>
  <si>
    <t>Påvirker poeng</t>
  </si>
  <si>
    <t>Juster endring</t>
  </si>
  <si>
    <t>Minus</t>
  </si>
  <si>
    <t>INN</t>
  </si>
  <si>
    <t>Gange</t>
  </si>
  <si>
    <t>Ny maksverdi ved nei</t>
  </si>
  <si>
    <t>Hvis ikke S/C</t>
  </si>
  <si>
    <t>Innovasjon</t>
  </si>
  <si>
    <t>Minus elelr gange</t>
  </si>
  <si>
    <t>S/C bare næring. Ja = bare næring. Nei = kun bolig</t>
  </si>
  <si>
    <t>Alle</t>
  </si>
  <si>
    <t>VOC N/A</t>
  </si>
  <si>
    <t>Sub-metering N/A</t>
  </si>
  <si>
    <t>Flow control N/A</t>
  </si>
  <si>
    <t>O2: Glare control (-0,5 c)</t>
  </si>
  <si>
    <t>O2: Artificial lighting (-0,5 c)</t>
  </si>
  <si>
    <t>O1: Glare ctrl/artificial light</t>
  </si>
  <si>
    <t>O1: VOC</t>
  </si>
  <si>
    <t>O2: VOC (AC 6-7: -0,5 c)</t>
  </si>
  <si>
    <t>O2: VOC (AC 8-9: -1,0 c)</t>
  </si>
  <si>
    <t>O3: VOC</t>
  </si>
  <si>
    <t>O2: Flow control (-0,5 c)</t>
  </si>
  <si>
    <t>O1: Flow control</t>
  </si>
  <si>
    <t xml:space="preserve">O3: Flow control </t>
  </si>
  <si>
    <t>O1: Sub-metering</t>
  </si>
  <si>
    <t>O2: Sub-met. (AC 1-3: -0,5 c)</t>
  </si>
  <si>
    <t>O2: Sub-met. (AC 4-7: -1,0 c)</t>
  </si>
  <si>
    <t>O3: Sub-metering</t>
  </si>
  <si>
    <t>O3: Glare ctrl/artif lighting</t>
  </si>
  <si>
    <t>O2: Glare ctrl &amp; artif light (-1,0 c)</t>
  </si>
  <si>
    <t>Glare ctrl/artif lighting N/A</t>
  </si>
  <si>
    <t>Påvirker minimumspoeng</t>
  </si>
  <si>
    <t>shell core</t>
  </si>
  <si>
    <t>Option 2: Where relevant, 50% of achieved credit is subtracted from score.</t>
  </si>
  <si>
    <t>Tra 01 Transport assessment and travel plan</t>
  </si>
  <si>
    <t>Tra 02 Sustainable transport measures</t>
  </si>
  <si>
    <t>Mat 01 Environmental impacts from construction products - Building life cycle assessment (LCA)</t>
  </si>
  <si>
    <t>Mat 02 Environmental impacts from construction products - Environmental Product Declarations (EPD)</t>
  </si>
  <si>
    <t>Mat 03 Responsible sourcing of construction products</t>
  </si>
  <si>
    <t>Mat 05 Designing for durability and resilience</t>
  </si>
  <si>
    <t>Mat 06 Material efficiency</t>
  </si>
  <si>
    <t>Mat 07 Endringsdyktighet og ombrukbarhet</t>
  </si>
  <si>
    <t>LE 02 Ecological risks and opportunities</t>
  </si>
  <si>
    <t>LE 03 Managing impacts on ecology</t>
  </si>
  <si>
    <t>LE 04 Ecological change and enhancement</t>
  </si>
  <si>
    <t>LE 05 Long term ecology management and maintenance</t>
  </si>
  <si>
    <t>POL 02 Local air quality</t>
  </si>
  <si>
    <t>Inn 10</t>
  </si>
  <si>
    <t>Inn 11</t>
  </si>
  <si>
    <t>Inn 12</t>
  </si>
  <si>
    <t>Inn 13</t>
  </si>
  <si>
    <t>Mat 02</t>
  </si>
  <si>
    <t>Mat 07</t>
  </si>
  <si>
    <t>LE 03</t>
  </si>
  <si>
    <t>LE 07</t>
  </si>
  <si>
    <t>LE 08</t>
  </si>
  <si>
    <t>Healthcare</t>
  </si>
  <si>
    <t>Prison</t>
  </si>
  <si>
    <t>Law Court</t>
  </si>
  <si>
    <t>Residential institution (long term stay)</t>
  </si>
  <si>
    <t>Residential institution (short term stay)</t>
  </si>
  <si>
    <t>Non-residential institution</t>
  </si>
  <si>
    <t>Assembly and leisure</t>
  </si>
  <si>
    <t>General office buildings</t>
  </si>
  <si>
    <t>Offices with research and development areas (i.e. category 1 labs only)</t>
  </si>
  <si>
    <t>Warehouse, storage or distribution</t>
  </si>
  <si>
    <t>Process, manufacturing or vehicle servicing</t>
  </si>
  <si>
    <t>Shop or shopping centre</t>
  </si>
  <si>
    <t>Retail park or warehouse</t>
  </si>
  <si>
    <t>‘Over the counter’ service provider, e.g. financial, estate and employment agencies and betting offices</t>
  </si>
  <si>
    <t>Restaurant, café and drinking establishment</t>
  </si>
  <si>
    <t>Preschool</t>
  </si>
  <si>
    <t xml:space="preserve">Primary School </t>
  </si>
  <si>
    <t>Schools and sixth form colleges</t>
  </si>
  <si>
    <t>Higher education institutions</t>
  </si>
  <si>
    <t>Teaching or specialist hospitals</t>
  </si>
  <si>
    <t>General acute hospitals</t>
  </si>
  <si>
    <t>Community and mental health hospitals</t>
  </si>
  <si>
    <t>GP surgeries</t>
  </si>
  <si>
    <t>Health centres and clinics</t>
  </si>
  <si>
    <t>High security prison</t>
  </si>
  <si>
    <t>Standard secured prison</t>
  </si>
  <si>
    <t>Young offender institution and juvenile prisons</t>
  </si>
  <si>
    <t>Local prison</t>
  </si>
  <si>
    <t>Holding centre</t>
  </si>
  <si>
    <t>Law courts</t>
  </si>
  <si>
    <t>Crown and criminal courts</t>
  </si>
  <si>
    <t>County courts</t>
  </si>
  <si>
    <t>Magistrates' courts</t>
  </si>
  <si>
    <t>Civil justice centres</t>
  </si>
  <si>
    <t>Family courts</t>
  </si>
  <si>
    <t>Youth courts</t>
  </si>
  <si>
    <t>Combined courts</t>
  </si>
  <si>
    <t>Residential care home</t>
  </si>
  <si>
    <t>Sheltered accommodation</t>
  </si>
  <si>
    <t>Residential college or school (halls of residence)</t>
  </si>
  <si>
    <t>Local authority secure residential accommodation</t>
  </si>
  <si>
    <t>Key worker accommodation</t>
  </si>
  <si>
    <t>Military barracks</t>
  </si>
  <si>
    <t>Hotel, hostel, boarding and guest house</t>
  </si>
  <si>
    <t>Secure training centre</t>
  </si>
  <si>
    <t>Residential training centre</t>
  </si>
  <si>
    <t>Art gallery, museum</t>
  </si>
  <si>
    <t>Library</t>
  </si>
  <si>
    <t>Day centre, hall, civic or community centre</t>
  </si>
  <si>
    <t>Place of worship</t>
  </si>
  <si>
    <t>Cinema</t>
  </si>
  <si>
    <t>Theatre, music or concert hall</t>
  </si>
  <si>
    <t>Exhibition or conference hall</t>
  </si>
  <si>
    <t>Indoor or outdoor sports, fitness and recreation centre (with or without pool)</t>
  </si>
  <si>
    <t>Upper Secondary School</t>
  </si>
  <si>
    <t>Total credits available BREEAM-NOR 2021</t>
  </si>
  <si>
    <t>BREEAM-NOR 2021</t>
  </si>
  <si>
    <t>Mat 02 Checklist A20 - Criteria 1</t>
  </si>
  <si>
    <t>Ene 01 Kriterium 9-10</t>
  </si>
  <si>
    <t>Hea02</t>
  </si>
  <si>
    <t>Hea 02 Emisjoner fra byggeprodukter - Criteria 3-4</t>
  </si>
  <si>
    <t>Crit. 3</t>
  </si>
  <si>
    <t>Crit. 4</t>
  </si>
  <si>
    <t>Man01</t>
  </si>
  <si>
    <t>Man 01 Criteria 11</t>
  </si>
  <si>
    <t>Man03</t>
  </si>
  <si>
    <t>Man04</t>
  </si>
  <si>
    <t>Tra01</t>
  </si>
  <si>
    <t>Mat06</t>
  </si>
  <si>
    <t>Mat07</t>
  </si>
  <si>
    <t>Wst01</t>
  </si>
  <si>
    <t>Crit. 5-6</t>
  </si>
  <si>
    <t>Crit. 5-9</t>
  </si>
  <si>
    <t>Crit. 5-13</t>
  </si>
  <si>
    <t>Man 03 Criteria 5-13</t>
  </si>
  <si>
    <t>Man05</t>
  </si>
  <si>
    <t>Man 05 Criteria 3</t>
  </si>
  <si>
    <t>Tra 01 Mobilitetsplan Criteria 6</t>
  </si>
  <si>
    <t>Crit. 5</t>
  </si>
  <si>
    <t>Crit. 1, 5</t>
  </si>
  <si>
    <t>Crit. 1, 4, 5</t>
  </si>
  <si>
    <t>Wst 01 Criteria 1, 4, 5</t>
  </si>
  <si>
    <t>Pol 1 UT. Pol02 og Pol 5 OK</t>
  </si>
  <si>
    <t>Pol 1 UT. Pol 2, Hea 02, Hea 03 OK</t>
  </si>
  <si>
    <t>Crit. 1-2</t>
  </si>
  <si>
    <t>Crit. 1-2, 3 (1 cre.)</t>
  </si>
  <si>
    <t>Mat 01 Criteria 1 - 3</t>
  </si>
  <si>
    <t>Mat 06 Materialeffektivitet Criteria 1</t>
  </si>
  <si>
    <t>Mat 07 Criteria 2-6</t>
  </si>
  <si>
    <t>Man 05: Non residential</t>
  </si>
  <si>
    <t>Ene01</t>
  </si>
  <si>
    <t>Boliger og boliginstitusjoner: 4</t>
  </si>
  <si>
    <t>Boliger og omsorgsboliger kan oppnå 2p for Inkluderende design. Alle andre kan oppnå 1p</t>
  </si>
  <si>
    <t>Tidligere navn:</t>
  </si>
  <si>
    <t>Crit. 1-8</t>
  </si>
  <si>
    <t>Crit. 1-4</t>
  </si>
  <si>
    <t>Mat 02 - Checklist A20 - Criteria 1</t>
  </si>
  <si>
    <t>Man 01 - Criteria 11</t>
  </si>
  <si>
    <t>Ene 01 - Kriterium 9-10</t>
  </si>
  <si>
    <t>Tra 01 - Mobilitetsplan Criteria 6</t>
  </si>
  <si>
    <t>Mat 06 - Materialeffektivitet Criteria 1</t>
  </si>
  <si>
    <t>Mat 07 - Criteria 2-6</t>
  </si>
  <si>
    <t>Man 05 - Criteria 3</t>
  </si>
  <si>
    <t>Third party stakeholder consultation</t>
  </si>
  <si>
    <t>BREEAM-NOR AP (stage 2 and 3)</t>
  </si>
  <si>
    <t>BREEAM-NOR AP (stage 4)</t>
  </si>
  <si>
    <t xml:space="preserve">Climate gas calculation for whole building life cycle </t>
  </si>
  <si>
    <t>Planning project delivery</t>
  </si>
  <si>
    <t>Elemental life cycle cost (LCC) and capital cost reporting</t>
  </si>
  <si>
    <t>Component level life option appraisal</t>
  </si>
  <si>
    <t>Environmental managment</t>
  </si>
  <si>
    <t>BREEAM-NOR AP and classification level (stage 5 and 6)</t>
  </si>
  <si>
    <t>Considerate construction managment</t>
  </si>
  <si>
    <t xml:space="preserve">Reduction of climate gas emissions from activites assosiated with the construction site </t>
  </si>
  <si>
    <t xml:space="preserve">Commissioning - testing schedule and responsibilities </t>
  </si>
  <si>
    <t>Commissioning - design, preperation and implementation</t>
  </si>
  <si>
    <t>Prepare for good handover</t>
  </si>
  <si>
    <t>Aftercare support</t>
  </si>
  <si>
    <t>Sesonal commisioning</t>
  </si>
  <si>
    <t>Post-occypancy evaluation</t>
  </si>
  <si>
    <t>Daylighting</t>
  </si>
  <si>
    <t xml:space="preserve">Control of glare from sunlight </t>
  </si>
  <si>
    <t xml:space="preserve">View out </t>
  </si>
  <si>
    <t xml:space="preserve">Sunlight </t>
  </si>
  <si>
    <t xml:space="preserve">Internal and external lighting levels, zoning and control </t>
  </si>
  <si>
    <t xml:space="preserve">Pre-requisite: indoor air quality </t>
  </si>
  <si>
    <t>Ventilation</t>
  </si>
  <si>
    <t xml:space="preserve">Emissions from construction products </t>
  </si>
  <si>
    <t xml:space="preserve">Post-construction indoor air quality measurement </t>
  </si>
  <si>
    <t xml:space="preserve">Thermal modelling </t>
  </si>
  <si>
    <t xml:space="preserve">Design for future thermal comfort </t>
  </si>
  <si>
    <t xml:space="preserve">Thermal zoning and controls </t>
  </si>
  <si>
    <t xml:space="preserve">Pre-requisite: suitably qualified acoustician </t>
  </si>
  <si>
    <t xml:space="preserve">Sound class requirements </t>
  </si>
  <si>
    <t xml:space="preserve">Inclusive design </t>
  </si>
  <si>
    <t xml:space="preserve">Biofilik design </t>
  </si>
  <si>
    <t xml:space="preserve">Private outdoor spaces </t>
  </si>
  <si>
    <t xml:space="preserve">Passive design </t>
  </si>
  <si>
    <t xml:space="preserve">Low and zero carbon technologies </t>
  </si>
  <si>
    <t xml:space="preserve">Energy performance </t>
  </si>
  <si>
    <t xml:space="preserve">Adaptation to EU taxonomy </t>
  </si>
  <si>
    <t xml:space="preserve">Prediction of operational energy consumption </t>
  </si>
  <si>
    <t xml:space="preserve">Sub-metering of end-use categories </t>
  </si>
  <si>
    <t xml:space="preserve">Sub-metering of high energy load and tenancy areas </t>
  </si>
  <si>
    <t xml:space="preserve">Sub-metering of energy consumption in residential buildings </t>
  </si>
  <si>
    <t>No external lighting within the construction zone</t>
  </si>
  <si>
    <t>External lighting within the construction zone</t>
  </si>
  <si>
    <t xml:space="preserve">Design of energy efficient refrigeration- and freezing room </t>
  </si>
  <si>
    <t xml:space="preserve">Indirect greenhouse gas emissions </t>
  </si>
  <si>
    <t xml:space="preserve">Energy consumption </t>
  </si>
  <si>
    <t xml:space="preserve">Energy efficient features </t>
  </si>
  <si>
    <t xml:space="preserve">Design specification </t>
  </si>
  <si>
    <t xml:space="preserve">Best practice energy efficient measures </t>
  </si>
  <si>
    <t xml:space="preserve">Reduction of the building's significant unregulated energy consumption </t>
  </si>
  <si>
    <t xml:space="preserve">Transport assessment and travel plan </t>
  </si>
  <si>
    <t xml:space="preserve">Travel plan emissions evaluation </t>
  </si>
  <si>
    <t>Prerequisite: Transport assessment and travel plan</t>
  </si>
  <si>
    <t xml:space="preserve">Transport options implementation </t>
  </si>
  <si>
    <t>Water efficient components</t>
  </si>
  <si>
    <t>Water meter</t>
  </si>
  <si>
    <t>Leak detection system</t>
  </si>
  <si>
    <t>Flow control devices (all buildings except residential)</t>
  </si>
  <si>
    <t>Leak isolation</t>
  </si>
  <si>
    <t>Pre-requisite: early stage greenhouse gas calculation</t>
  </si>
  <si>
    <t>Reduction of greenhouse gas emissions</t>
  </si>
  <si>
    <t>Life cycle assessment of the building</t>
  </si>
  <si>
    <t>Minimum req -  Absence of environmental toxins</t>
  </si>
  <si>
    <t xml:space="preserve">EPD for construction products </t>
  </si>
  <si>
    <t xml:space="preserve">Performance requirements for construction products </t>
  </si>
  <si>
    <t>Minimum req -  legal and sustainable timber</t>
  </si>
  <si>
    <t>Enabling sustainable procurement</t>
  </si>
  <si>
    <t>Responsible sourcing of relevant materials</t>
  </si>
  <si>
    <t>Pre-requisite: risk analysis</t>
  </si>
  <si>
    <t>Protect vulnerable parts of the building from damage</t>
  </si>
  <si>
    <t xml:space="preserve">Protecting exposed parts of the building from material degradation </t>
  </si>
  <si>
    <t>Moisture protecion on site</t>
  </si>
  <si>
    <t>Mapping for component reuse and implementation</t>
  </si>
  <si>
    <t>Material efficency</t>
  </si>
  <si>
    <t>Reuse of extern building components</t>
  </si>
  <si>
    <t>Material bank</t>
  </si>
  <si>
    <t xml:space="preserve">Design for disassembly and functional adaptability - recommendations </t>
  </si>
  <si>
    <t xml:space="preserve">Disassembly and functional adaptability - implementation </t>
  </si>
  <si>
    <t>Resource managment plan</t>
  </si>
  <si>
    <t>Amount of construction waste</t>
  </si>
  <si>
    <t>Waste sorting, reuse and recycling</t>
  </si>
  <si>
    <t>Sorting of waste</t>
  </si>
  <si>
    <t xml:space="preserve">User involvement surface finishes </t>
  </si>
  <si>
    <t>Wst 04 User involvement surface finishes</t>
  </si>
  <si>
    <t>Previously occupied land</t>
  </si>
  <si>
    <t>Pre-requisite: statutory obligations</t>
  </si>
  <si>
    <t>Survey and evaluation</t>
  </si>
  <si>
    <t>Determin ecological possibilities</t>
  </si>
  <si>
    <t>Pre-requisite: ecological risks and opportunities</t>
  </si>
  <si>
    <t>Planning and measures on site</t>
  </si>
  <si>
    <t>Managing negative impacts</t>
  </si>
  <si>
    <t>Pre-requisite: Managing negative impacts on ecology</t>
  </si>
  <si>
    <t>Ecological enhancement</t>
  </si>
  <si>
    <t>Calculation of change in biodiversity</t>
  </si>
  <si>
    <t>Pre-requisite: statutory obligations, planning and site implementation</t>
  </si>
  <si>
    <t>Management and maintenance throughout the project</t>
  </si>
  <si>
    <t>Landscape and ecology management plan</t>
  </si>
  <si>
    <t>Risk assessment</t>
  </si>
  <si>
    <t>Pre-requisite: Flood risk assessment</t>
  </si>
  <si>
    <t>Resilience against flood and storm surge</t>
  </si>
  <si>
    <t>Pre-requisite risk assessment and the "three- step strategy"</t>
  </si>
  <si>
    <t>Maximum run-off</t>
  </si>
  <si>
    <t>Measures for surface-based water management</t>
  </si>
  <si>
    <t>LE 06 Climate adaption</t>
  </si>
  <si>
    <t>LE 07 Flooding and storm surge</t>
  </si>
  <si>
    <t>LE 08 Local surface water handling</t>
  </si>
  <si>
    <t>a</t>
  </si>
  <si>
    <t>e</t>
  </si>
  <si>
    <t>d</t>
  </si>
  <si>
    <t>b</t>
  </si>
  <si>
    <t>c</t>
  </si>
  <si>
    <t>Inn 14</t>
  </si>
  <si>
    <t xml:space="preserve">Man 03: Reduction of direct emissions from construction sites </t>
  </si>
  <si>
    <t xml:space="preserve">Ene 01: Post-occupancy stage </t>
  </si>
  <si>
    <t>Wat 01: Highly water efficient components</t>
  </si>
  <si>
    <t xml:space="preserve">Mat 01: 60% reduction of greenhouse gas emission </t>
  </si>
  <si>
    <t>Mat 06: FutureBuilt criteria set for circular buildings, point 2.3 reuse of building components</t>
  </si>
  <si>
    <t xml:space="preserve">Wst 01: Especially low amount of construction waste </t>
  </si>
  <si>
    <t>LE 02: Wider sustainability for the site</t>
  </si>
  <si>
    <t>LE 04: Significant net gain of biodiversity</t>
  </si>
  <si>
    <t>LE 06: Responding to climate change</t>
  </si>
  <si>
    <t>LE 08: Wider approach to surface water management</t>
  </si>
  <si>
    <t xml:space="preserve">Hea 01: View out, high level </t>
  </si>
  <si>
    <t xml:space="preserve">Ene 01: Plus house </t>
  </si>
  <si>
    <t>Man 01a</t>
  </si>
  <si>
    <t>Man 01b</t>
  </si>
  <si>
    <t>Man 01c</t>
  </si>
  <si>
    <t>Man 01d</t>
  </si>
  <si>
    <t>Man 01e</t>
  </si>
  <si>
    <t>Man 02a</t>
  </si>
  <si>
    <t>Man 02b</t>
  </si>
  <si>
    <t>Man 03a</t>
  </si>
  <si>
    <t>Man 03b</t>
  </si>
  <si>
    <t>Man 03c</t>
  </si>
  <si>
    <t>Man 03d</t>
  </si>
  <si>
    <t>Man 04a</t>
  </si>
  <si>
    <t>Man 04b</t>
  </si>
  <si>
    <t>Man 04c</t>
  </si>
  <si>
    <t>Man 05a</t>
  </si>
  <si>
    <t>Man 05b</t>
  </si>
  <si>
    <t>Man 05c</t>
  </si>
  <si>
    <t>Hea 01a</t>
  </si>
  <si>
    <t>Hea 01b</t>
  </si>
  <si>
    <t>Hea 01c</t>
  </si>
  <si>
    <t>Hea 01d</t>
  </si>
  <si>
    <t>Hea 01e</t>
  </si>
  <si>
    <t>Hea 02a</t>
  </si>
  <si>
    <t>Hea 02b</t>
  </si>
  <si>
    <t>Hea 02c</t>
  </si>
  <si>
    <t>Hea 02d</t>
  </si>
  <si>
    <t>Hea 03a</t>
  </si>
  <si>
    <t>Hea 03b</t>
  </si>
  <si>
    <t>Hea 03c</t>
  </si>
  <si>
    <t>Hea 05a</t>
  </si>
  <si>
    <t>Hea 05b</t>
  </si>
  <si>
    <t>Hea 06a</t>
  </si>
  <si>
    <t>Hea 06b</t>
  </si>
  <si>
    <t>Hea 08a</t>
  </si>
  <si>
    <t>Ene 01a</t>
  </si>
  <si>
    <t>Ene 01b</t>
  </si>
  <si>
    <t>Ene 01c</t>
  </si>
  <si>
    <t>Ene 01d</t>
  </si>
  <si>
    <t>Ene 01e</t>
  </si>
  <si>
    <t>Ene 02c</t>
  </si>
  <si>
    <t>Ene 03a</t>
  </si>
  <si>
    <t>Ene 03b</t>
  </si>
  <si>
    <t>Ene 05a</t>
  </si>
  <si>
    <t>Ene 05b</t>
  </si>
  <si>
    <t>Ene 06a</t>
  </si>
  <si>
    <t>Ene 06b</t>
  </si>
  <si>
    <t>Ene 07a</t>
  </si>
  <si>
    <t>Ene 07b</t>
  </si>
  <si>
    <t>Ene 08a</t>
  </si>
  <si>
    <t>Tra 01a</t>
  </si>
  <si>
    <t>Tra 01b</t>
  </si>
  <si>
    <t>Tra 02a</t>
  </si>
  <si>
    <t>Tra 02b</t>
  </si>
  <si>
    <t>Wat 01a</t>
  </si>
  <si>
    <t>Wat 02a</t>
  </si>
  <si>
    <t>Wat 03a</t>
  </si>
  <si>
    <t>Wat 03b</t>
  </si>
  <si>
    <t>Wat 03c</t>
  </si>
  <si>
    <t>Wat 04a</t>
  </si>
  <si>
    <t>Mat 01a</t>
  </si>
  <si>
    <t>Mat 01b</t>
  </si>
  <si>
    <t>Mat 01c</t>
  </si>
  <si>
    <t>Mat 02a</t>
  </si>
  <si>
    <t>Mat 02b</t>
  </si>
  <si>
    <t>Mat 02c</t>
  </si>
  <si>
    <t>Mat 03a</t>
  </si>
  <si>
    <t>Mat 03b</t>
  </si>
  <si>
    <t>Mat 03c</t>
  </si>
  <si>
    <t>Mat 05a</t>
  </si>
  <si>
    <t>Mat 05b</t>
  </si>
  <si>
    <t>Mat 05c</t>
  </si>
  <si>
    <t>Mat 05d</t>
  </si>
  <si>
    <t>Mat 06a</t>
  </si>
  <si>
    <t>Mat 06b</t>
  </si>
  <si>
    <t>Mat 06c</t>
  </si>
  <si>
    <t>Mat 07a</t>
  </si>
  <si>
    <t>Mat 07b</t>
  </si>
  <si>
    <t>Mat 07c</t>
  </si>
  <si>
    <t>Wst 01a</t>
  </si>
  <si>
    <t>Wst 01b</t>
  </si>
  <si>
    <t>Wst 01c</t>
  </si>
  <si>
    <t>Wst 03aa</t>
  </si>
  <si>
    <t>Wst 03ba</t>
  </si>
  <si>
    <t>Wst 04a</t>
  </si>
  <si>
    <t>Wst 03a Operational waste</t>
  </si>
  <si>
    <t>Wst 03b Operational waste</t>
  </si>
  <si>
    <t>LE 01a</t>
  </si>
  <si>
    <t>LE 02a</t>
  </si>
  <si>
    <t>LE 02b</t>
  </si>
  <si>
    <t>LE 02c</t>
  </si>
  <si>
    <t>LE 03a</t>
  </si>
  <si>
    <t>LE 03b</t>
  </si>
  <si>
    <t>LE 03c</t>
  </si>
  <si>
    <t>LE 04a</t>
  </si>
  <si>
    <t>LE 04b</t>
  </si>
  <si>
    <t>LE 04c</t>
  </si>
  <si>
    <t>LE 05a</t>
  </si>
  <si>
    <t>LE 05b</t>
  </si>
  <si>
    <t>LE 05c</t>
  </si>
  <si>
    <t>LE 06a</t>
  </si>
  <si>
    <t>LE 07a</t>
  </si>
  <si>
    <t>LE 07b</t>
  </si>
  <si>
    <t>LE 08a</t>
  </si>
  <si>
    <t>LE 08b</t>
  </si>
  <si>
    <t>LE 08c</t>
  </si>
  <si>
    <t>POL 01a</t>
  </si>
  <si>
    <t>POL 01b</t>
  </si>
  <si>
    <t>POL 01c</t>
  </si>
  <si>
    <t>POL 02a</t>
  </si>
  <si>
    <t>POL 02b</t>
  </si>
  <si>
    <t>POL 04a</t>
  </si>
  <si>
    <t>POL 04b</t>
  </si>
  <si>
    <t>POL 05a</t>
  </si>
  <si>
    <t>POL 05b</t>
  </si>
  <si>
    <t>Exemplary Level</t>
  </si>
  <si>
    <t>Contr. to score</t>
  </si>
  <si>
    <t>U</t>
  </si>
  <si>
    <t>O: Outstanding</t>
  </si>
  <si>
    <t>E: Excellent</t>
  </si>
  <si>
    <t>VG: Very Good</t>
  </si>
  <si>
    <t>Available credits in all</t>
  </si>
  <si>
    <t>Available credits for this project</t>
  </si>
  <si>
    <t>Project brief &amp; design:</t>
  </si>
  <si>
    <t>Life cycle cost and service life planning:</t>
  </si>
  <si>
    <t>Visual comfort:</t>
  </si>
  <si>
    <t>Indoor air quality:</t>
  </si>
  <si>
    <t>Thermal comfort:</t>
  </si>
  <si>
    <t>Thermal zoning and controls</t>
  </si>
  <si>
    <t>Safe and healthy environment:</t>
  </si>
  <si>
    <t>Inclusive design</t>
  </si>
  <si>
    <t>Biofilik design</t>
  </si>
  <si>
    <t>Building energy performance:</t>
  </si>
  <si>
    <t>Energy monitoring:</t>
  </si>
  <si>
    <t>Transport assessment and travel plan</t>
  </si>
  <si>
    <t>Sustainable transport measures</t>
  </si>
  <si>
    <t>Environmental impacts from construction products - LCA and greenhouse gas calculations</t>
  </si>
  <si>
    <t>Environmental impacts from construction products - EPDs</t>
  </si>
  <si>
    <t>Responsible sourcing of construction products</t>
  </si>
  <si>
    <t>Disassembly and adaptibility</t>
  </si>
  <si>
    <t>Disassembly and functional adaptability - implementation</t>
  </si>
  <si>
    <t>Ecological risks and opportunities</t>
  </si>
  <si>
    <t>LE03</t>
  </si>
  <si>
    <t>Managing impacts on ecology</t>
  </si>
  <si>
    <t>Ecological change and enhancement</t>
  </si>
  <si>
    <t>Climate adaption</t>
  </si>
  <si>
    <t>LE07</t>
  </si>
  <si>
    <t>Flooding and storm surge</t>
  </si>
  <si>
    <t>LE08</t>
  </si>
  <si>
    <t>Local surface water handling</t>
  </si>
  <si>
    <t>Local air quality</t>
  </si>
  <si>
    <t xml:space="preserve">Reduction of direct emissions from construction sites </t>
  </si>
  <si>
    <t>Hea01</t>
  </si>
  <si>
    <t xml:space="preserve">Daylighting, high level </t>
  </si>
  <si>
    <t xml:space="preserve">View out, high level </t>
  </si>
  <si>
    <t xml:space="preserve">Emissions from construction products  </t>
  </si>
  <si>
    <t xml:space="preserve">Post-occupancy stage </t>
  </si>
  <si>
    <t xml:space="preserve">Plus house </t>
  </si>
  <si>
    <t>Wat01</t>
  </si>
  <si>
    <t>Highly water efficient components</t>
  </si>
  <si>
    <t xml:space="preserve">60% reduction of greenhouse gas emission </t>
  </si>
  <si>
    <t>FutureBuilt criteria set for circular buildings, point 2.3 reuse of building components</t>
  </si>
  <si>
    <t xml:space="preserve">Especially low amount of construction waste </t>
  </si>
  <si>
    <t>LE02</t>
  </si>
  <si>
    <t>Wider sustainability for the site</t>
  </si>
  <si>
    <t>LE04</t>
  </si>
  <si>
    <t>Significant net gain of biodiversity</t>
  </si>
  <si>
    <t>LE06</t>
  </si>
  <si>
    <t>Responding to climate change</t>
  </si>
  <si>
    <t>Wider approach to surface water management</t>
  </si>
  <si>
    <t>ikke sum med makspoeng</t>
  </si>
  <si>
    <t>Min. std. Level</t>
  </si>
  <si>
    <t>Man Sum</t>
  </si>
  <si>
    <t>Hea sum</t>
  </si>
  <si>
    <t>Ene sum</t>
  </si>
  <si>
    <t>Tra sum</t>
  </si>
  <si>
    <t>Wat sum</t>
  </si>
  <si>
    <t>Mat sum</t>
  </si>
  <si>
    <t>Wst sum</t>
  </si>
  <si>
    <t>LE sum</t>
  </si>
  <si>
    <t>POL sum</t>
  </si>
  <si>
    <t>Inn sum</t>
  </si>
  <si>
    <t>Transport needs and usage patterns</t>
  </si>
  <si>
    <t xml:space="preserve">Kontrollplan og fuktmålinger </t>
  </si>
  <si>
    <t xml:space="preserve">Bygging under tildekking  </t>
  </si>
  <si>
    <t>Mat 05e</t>
  </si>
  <si>
    <t>Pol 01b</t>
  </si>
  <si>
    <t>POL 01d</t>
  </si>
  <si>
    <t>Forkrav: 2. Belastning fra kuldemedier</t>
  </si>
  <si>
    <t>No refrigerants in the building</t>
  </si>
  <si>
    <t>Leak detection</t>
  </si>
  <si>
    <t>Heating and hot water is supplied by non-combustions system</t>
  </si>
  <si>
    <t>Heating and hot water is supplied by combustions plant</t>
  </si>
  <si>
    <t>Reduction of night time light pollution</t>
  </si>
  <si>
    <t xml:space="preserve">No external lighting pollution </t>
  </si>
  <si>
    <t>Minimizing external light pollution</t>
  </si>
  <si>
    <t>No noise-sensitive areas</t>
  </si>
  <si>
    <t>Minimizing noise pollution in noise-sensitive areas</t>
  </si>
  <si>
    <t>POL 05 Reduction of noise pollution</t>
  </si>
  <si>
    <t>f</t>
  </si>
  <si>
    <t>Man 03e</t>
  </si>
  <si>
    <t>Man 03f</t>
  </si>
  <si>
    <t>Ansvarlig byggeledelse: RTB og sjekkliste A1</t>
  </si>
  <si>
    <t>Ansvarlig byggeledelse: INSTA 800 og sjekkliste A1</t>
  </si>
  <si>
    <t>Energiforbruk fra aktiviteter på byggeplassen (steg 2-4)</t>
  </si>
  <si>
    <t>Energiforbruk tilknyttet transport av masser og avfall  (steg 2-4)</t>
  </si>
  <si>
    <t>Energieffektive funksjoner heis</t>
  </si>
  <si>
    <t>Energieffektive funksjoner rulletrapp</t>
  </si>
  <si>
    <t>Ene 06c</t>
  </si>
  <si>
    <t>Flow control devices</t>
  </si>
  <si>
    <r>
      <rPr>
        <b/>
        <sz val="11"/>
        <color rgb="FFFFFFFF"/>
        <rFont val="Calibri"/>
        <family val="2"/>
      </rPr>
      <t>Pol 01:</t>
    </r>
    <r>
      <rPr>
        <sz val="11"/>
        <color indexed="9"/>
        <rFont val="Calibri"/>
        <family val="2"/>
      </rPr>
      <t xml:space="preserve"> Refrigerants in the building?</t>
    </r>
  </si>
  <si>
    <t>Non-combustions system</t>
  </si>
  <si>
    <t>Combustions plant</t>
  </si>
  <si>
    <r>
      <rPr>
        <b/>
        <sz val="11"/>
        <color rgb="FFFFFFFF"/>
        <rFont val="Calibri"/>
        <family val="2"/>
      </rPr>
      <t xml:space="preserve">Pol 05: </t>
    </r>
    <r>
      <rPr>
        <sz val="11"/>
        <color indexed="9"/>
        <rFont val="Calibri"/>
        <family val="2"/>
      </rPr>
      <t>Noise-sensitive areas?</t>
    </r>
  </si>
  <si>
    <r>
      <rPr>
        <b/>
        <sz val="11"/>
        <color rgb="FFFFFFFF"/>
        <rFont val="Calibri"/>
        <family val="2"/>
      </rPr>
      <t>Ene 05:</t>
    </r>
    <r>
      <rPr>
        <sz val="11"/>
        <color indexed="9"/>
        <rFont val="Calibri"/>
        <family val="2"/>
      </rPr>
      <t xml:space="preserve"> Commercial/industrial refrigeration and cold storage systems?</t>
    </r>
  </si>
  <si>
    <r>
      <rPr>
        <b/>
        <sz val="11"/>
        <color rgb="FFFFFFFF"/>
        <rFont val="Calibri"/>
        <family val="2"/>
      </rPr>
      <t>Ene 06:</t>
    </r>
    <r>
      <rPr>
        <sz val="11"/>
        <color indexed="9"/>
        <rFont val="Calibri"/>
        <family val="2"/>
      </rPr>
      <t xml:space="preserve"> Does the building contain  lifts, escalators or moving walks?</t>
    </r>
  </si>
  <si>
    <t xml:space="preserve">Inn 01 - Man 03: Reduction of direct emissions from construction sites </t>
  </si>
  <si>
    <t xml:space="preserve">Inn 02 - Hea 01: Daylighting, high level </t>
  </si>
  <si>
    <t xml:space="preserve">Inn 03 - Hea 01: View out, high level </t>
  </si>
  <si>
    <t xml:space="preserve">Inn 04 - Hea 02: Emissions from construction products  </t>
  </si>
  <si>
    <t xml:space="preserve">Inn 05 - Ene 01: Post-occupancy stage </t>
  </si>
  <si>
    <t xml:space="preserve">Inn 06 - Ene 01: Plus house </t>
  </si>
  <si>
    <t>Inn 07 - Wat 01: Highly water efficient components</t>
  </si>
  <si>
    <t xml:space="preserve">Inn 08 - Mat 01: 60% reduction of greenhouse gas emission </t>
  </si>
  <si>
    <t>Inn 09 - Mat 06: FutureBuilt criteria set for circular buildings, point 2.3 reuse of building components</t>
  </si>
  <si>
    <t xml:space="preserve">Inn 10 - Wst 01: Especially low amount of construction waste </t>
  </si>
  <si>
    <t>Inn 11 - LE 02: Wider sustainability for the site</t>
  </si>
  <si>
    <t>Inn 12 - LE 04: Significant net gain of biodiversity</t>
  </si>
  <si>
    <t>Inn 13 - LE 06: Responding to climate change</t>
  </si>
  <si>
    <t>Inn 14 - LE 08: Wider approach to surface water management</t>
  </si>
  <si>
    <t>Yes - lifts and escalators/moving walks</t>
  </si>
  <si>
    <t>Yes - escalators/moving walks</t>
  </si>
  <si>
    <t>Yes - lifts</t>
  </si>
  <si>
    <t>Ved 1 poeng, sjekk type</t>
  </si>
  <si>
    <t>hvis 1 poeng . Sjekk type</t>
  </si>
  <si>
    <t>sjekk type og rett poeng</t>
  </si>
  <si>
    <t>sjekk rett</t>
  </si>
  <si>
    <t>Ene07</t>
  </si>
  <si>
    <t>Mat05</t>
  </si>
  <si>
    <t>Wst03</t>
  </si>
  <si>
    <t>Wst 03</t>
  </si>
  <si>
    <t>Mat02</t>
  </si>
  <si>
    <t>Mat03</t>
  </si>
  <si>
    <t>Bespoke foreløpig - mulig utgå</t>
  </si>
  <si>
    <t>VALG BESPOKE</t>
  </si>
  <si>
    <t>BREEAM-NOR AP and BREEAM performance targets (stage 5 and 6)</t>
  </si>
  <si>
    <t>Hea 01f</t>
  </si>
  <si>
    <t>Mat 02 Environmental impacts from construction products - product requirements</t>
  </si>
  <si>
    <t>Mat 05 Designing for durability and climate adaption</t>
  </si>
  <si>
    <t>Wst 04 Speculative finishes</t>
  </si>
  <si>
    <t>5 mm precipitation</t>
  </si>
  <si>
    <t>LE 08d</t>
  </si>
  <si>
    <t>Non-combustion heating and hot water system</t>
  </si>
  <si>
    <t>Combustion-powered heating and hot water</t>
  </si>
  <si>
    <t>BREEAM-NOR v6.0 New Construction Pre-Assessment Estimator</t>
  </si>
  <si>
    <r>
      <rPr>
        <b/>
        <sz val="11"/>
        <color theme="1"/>
        <rFont val="Calibri"/>
        <family val="2"/>
        <scheme val="minor"/>
      </rPr>
      <t xml:space="preserve">Starting a pre-assessment </t>
    </r>
    <r>
      <rPr>
        <sz val="11"/>
        <color theme="1"/>
        <rFont val="Calibri"/>
        <family val="2"/>
        <scheme val="minor"/>
      </rPr>
      <t xml:space="preserve">
You have downloaded and opened the template version of the BREEAM-NOR v6.0 Pre-Assessment Estimator. The template version must always be used to start a new pre-assessment of a building. 
To begin a pre-assessment of a building you must first define a few characteristics of the building requiring pre-assessment in the Assessment Details worksheet. This information ensures the Pre-Assessment Estimator selects the correct number of BREEAM-NOR issues and credits for the building. </t>
    </r>
  </si>
  <si>
    <t>BREEAM-NOR v6.0 New Construction Pre-Assessment Estimator: Assessment Details</t>
  </si>
  <si>
    <t>Note: If you are starting a new pre-assessment please ensure you are using the latest template version of the BREEAM-NOR v6.0 Pre-Assessment Estimator and not a version used for an existing/previous pre-assessment.</t>
  </si>
  <si>
    <t>BREEAM-NOR v6.0 New Construction Pre-Assessment Estimator: Building Performance</t>
  </si>
  <si>
    <t>BREEAM-NOR v6.0 New Construction Pre-Assessment Estimator: Summary of Building Performance</t>
  </si>
  <si>
    <t>BREEAM-NOR v6.0 New Construction Pre-Assessment Estimator: Version Control</t>
  </si>
  <si>
    <t>Vekting</t>
  </si>
  <si>
    <t>Innredet</t>
  </si>
  <si>
    <t>Uinnredet</t>
  </si>
  <si>
    <t>Råbygg</t>
  </si>
  <si>
    <t>Valg</t>
  </si>
  <si>
    <t>Fully fitted</t>
  </si>
  <si>
    <t>Shell only</t>
  </si>
  <si>
    <t xml:space="preserve">Requirements for EU taxonomy </t>
  </si>
  <si>
    <t>EU Taksonomi</t>
  </si>
  <si>
    <t xml:space="preserve">Ingen vesentlig skade (DNSH) </t>
  </si>
  <si>
    <t>Bidra vesentlig til å redusere klimaendringer</t>
  </si>
  <si>
    <t>Samlet</t>
  </si>
  <si>
    <t>INITIAL</t>
  </si>
  <si>
    <t>DESIGN</t>
  </si>
  <si>
    <t>CONSTRUCTION</t>
  </si>
  <si>
    <t>Oppfyller taksonomi = nei</t>
  </si>
  <si>
    <t>Wst 01d</t>
  </si>
  <si>
    <t>LE 01b</t>
  </si>
  <si>
    <t>Minimum req: legal and sustainable timber</t>
  </si>
  <si>
    <t>Pre-requisite: managing negative impacts on ecology</t>
  </si>
  <si>
    <t>Pre-requisite: flood risk assessment</t>
  </si>
  <si>
    <t>Pre-requisite: risk assessment and the "three- step strategy"</t>
  </si>
  <si>
    <t>Pre-requisite: transport assessment and travel plan</t>
  </si>
  <si>
    <t>Pre-requisite: impact of refrigerants</t>
  </si>
  <si>
    <t>Pre-requisite: Transport assessment and travel plan</t>
  </si>
  <si>
    <r>
      <rPr>
        <b/>
        <sz val="11"/>
        <color rgb="FFFFFFFF"/>
        <rFont val="Calibri"/>
        <family val="2"/>
      </rPr>
      <t xml:space="preserve">Mat 06: </t>
    </r>
    <r>
      <rPr>
        <sz val="11"/>
        <color indexed="9"/>
        <rFont val="Calibri"/>
        <family val="2"/>
      </rPr>
      <t>Demolition in the development area (mapping for component reuse)?</t>
    </r>
  </si>
  <si>
    <t xml:space="preserve">Hea 06: Biofilik design </t>
  </si>
  <si>
    <r>
      <t xml:space="preserve">Wat 04: </t>
    </r>
    <r>
      <rPr>
        <sz val="11"/>
        <color rgb="FFFFFFFF"/>
        <rFont val="Calibri"/>
        <family val="2"/>
      </rPr>
      <t>Water demand in building (beyond Wat 01)</t>
    </r>
    <r>
      <rPr>
        <b/>
        <sz val="11"/>
        <color rgb="FFFFFFFF"/>
        <rFont val="Calibri"/>
        <family val="2"/>
      </rPr>
      <t>?</t>
    </r>
  </si>
  <si>
    <t>Energy consumption from activities on the construction site (step 2-4)</t>
  </si>
  <si>
    <t>Energy consumption from transport of masses and waste (step 2-4)</t>
  </si>
  <si>
    <t>Energy efficient features: lifts</t>
  </si>
  <si>
    <t>Energy efficient features: escalators or moving walks</t>
  </si>
  <si>
    <t>Control plan and moisture measurements</t>
  </si>
  <si>
    <t>Construction under cover</t>
  </si>
  <si>
    <t>To activate select YES in cell S8</t>
  </si>
  <si>
    <t>To activate select YES in cell Z8</t>
  </si>
  <si>
    <r>
      <rPr>
        <b/>
        <sz val="11"/>
        <color rgb="FFFFFFFF"/>
        <rFont val="Calibri"/>
        <family val="2"/>
      </rPr>
      <t>Ene 08: A</t>
    </r>
    <r>
      <rPr>
        <sz val="11"/>
        <color indexed="9"/>
        <rFont val="Calibri"/>
        <family val="2"/>
      </rPr>
      <t>ny unregulated energy loads in building?</t>
    </r>
  </si>
  <si>
    <t>Initial Release Version of BREEAM-NOR v0.6 New Construction Pre-Assessment Tool.</t>
  </si>
  <si>
    <t>Other</t>
  </si>
  <si>
    <t>Transportation hub (coach or bus station and above ground rail station)</t>
  </si>
  <si>
    <t>Research and development (category 2 or 3 laboratories - non-higher education)</t>
  </si>
  <si>
    <t>Crèche</t>
  </si>
  <si>
    <t>Fire stations</t>
  </si>
  <si>
    <t>Visitor centres</t>
  </si>
  <si>
    <r>
      <rPr>
        <b/>
        <sz val="11"/>
        <color rgb="FFFFFFFF"/>
        <rFont val="Calibri"/>
        <family val="2"/>
      </rPr>
      <t>Ene 03, Pol 04:</t>
    </r>
    <r>
      <rPr>
        <sz val="11"/>
        <color indexed="9"/>
        <rFont val="Calibri"/>
        <family val="2"/>
      </rPr>
      <t xml:space="preserve"> External lighting within the construction zone?</t>
    </r>
  </si>
  <si>
    <t>Synlig (1=ja)</t>
  </si>
  <si>
    <r>
      <rPr>
        <b/>
        <sz val="11"/>
        <color indexed="9"/>
        <rFont val="Calibri"/>
        <family val="2"/>
      </rPr>
      <t xml:space="preserve">Pol 05: </t>
    </r>
    <r>
      <rPr>
        <sz val="11"/>
        <color indexed="9"/>
        <rFont val="Calibri"/>
        <family val="2"/>
      </rPr>
      <t>Does the building have a need for heating, ventilation or air conditioning?</t>
    </r>
  </si>
  <si>
    <t>BREEAM-NOR v6.0 Issue</t>
  </si>
  <si>
    <t>BREEAM-NOR v6.0</t>
  </si>
  <si>
    <t>Mat 07 Design for disassembly and adaptability</t>
  </si>
  <si>
    <t>Resource inventory</t>
  </si>
  <si>
    <t>1.0</t>
  </si>
  <si>
    <r>
      <rPr>
        <b/>
        <sz val="11"/>
        <color theme="1"/>
        <rFont val="Calibri"/>
        <family val="2"/>
        <scheme val="minor"/>
      </rPr>
      <t xml:space="preserve">Disclaimer </t>
    </r>
    <r>
      <rPr>
        <sz val="11"/>
        <color theme="1"/>
        <rFont val="Calibri"/>
        <family val="2"/>
        <scheme val="minor"/>
      </rPr>
      <t xml:space="preserve">
Thank you for downloading and using the BREEAM-NOR Versjon 6.0. New Construction Pre-Assessment Estimator. 
If you are using the Pre-Assessment Estimator for the first time please take a few moments to read the following: 
The Pre-Assessment Estimator is the property of Grønn Byggallianse (NGBC) and BRE Global Ltd and is made publicly available for information purposes only. Its use for testing, assessment, certification or approval is not permitted. The results presented are indicative only of a building's potential performance and are based on a simplified, informal assessment and unverified commitments. The results do not represent a formal certified BREEAM-NOR assessment or rating and must not be communicated or presented as a BREEAM-NOR rating. NGBC/BRE Group Ltd. accepts no responsibility for any actions taken as a result of information presented or interpreted by the BREEAM-NOR Pre-Assessment Estimator. </t>
    </r>
  </si>
  <si>
    <r>
      <rPr>
        <b/>
        <sz val="11"/>
        <color theme="1"/>
        <rFont val="Calibri"/>
        <family val="2"/>
        <scheme val="minor"/>
      </rPr>
      <t xml:space="preserve">Completing a pre-assessment </t>
    </r>
    <r>
      <rPr>
        <sz val="11"/>
        <color theme="1"/>
        <rFont val="Calibri"/>
        <family val="2"/>
        <scheme val="minor"/>
      </rPr>
      <t xml:space="preserve">
These questions are arranged by assessment issue. The number of indicative BREEAM-NOR credits achieved and overall performance will depend on your response to each question. In most cases, questions are answered by entering the number of BREEAM-NOR credits you wish to award. 
Before proceeding with the pre-assessment it is recommended that you save a copy of the Pre-Assessment Estimator using the building name and date as a filename, for example: BREEAM-NOR v6.0 Pre-Assessment Estimator_v1.0 - Office HQ 1/11/16.</t>
    </r>
  </si>
  <si>
    <t>Developed for Grønn Byggallianse (Norwegian Green Building Council) by Asplan Viak</t>
  </si>
  <si>
    <t>,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(SD5076NOR). Furthermore, I confirm that this assessment and the information on which it is based has been checked and verified in accordance with NGBC/BRE Group Ltd's UKAS accredited BREEAM-NOR operating procedures for BREEAM-NOR assessments and assessors, as described in the  technical scheme document (SD5076NOR) and associated BREEAM-NOR operational documents.</t>
  </si>
  <si>
    <t>This Pre-Assessment Estimator is the property of NGBC and BRE Group Ltd. and is made publicly available for information purposes only. Its use for testing, assessment, certification or approval is not permitted. The results presented are indicative only of a building's potential performance which is based on a simplified, informal assessment and unverified commitments. The results do not represent a formal certified BREEAM-NOR assessment or rating and must not be communicated as such. NGBC/BRE Group Ltd. accepts no responsibility for any actions taken as a result of information presented or interpreted by the BREEAM-NOR Pre-Assessment Estimator. To carry out a formal BREEAM-NOR assessment contact a licensed BREEAM-NOR Assessor organisation. A list of licensed BREEAM-NOR Assessors is available from the www.byggalliansen.no and Green Book Live website: www.greenbooklive.com</t>
  </si>
  <si>
    <r>
      <rPr>
        <b/>
        <sz val="11"/>
        <color rgb="FFFFFFFF"/>
        <rFont val="Calibri"/>
        <family val="2"/>
      </rPr>
      <t>Ene 07:</t>
    </r>
    <r>
      <rPr>
        <sz val="11"/>
        <color indexed="9"/>
        <rFont val="Calibri"/>
        <family val="2"/>
      </rPr>
      <t xml:space="preserve"> Laboratory function/area and size cate</t>
    </r>
    <r>
      <rPr>
        <sz val="11"/>
        <color rgb="FFFFFFFF"/>
        <rFont val="Calibri"/>
        <family val="2"/>
      </rPr>
      <t>gory:</t>
    </r>
  </si>
  <si>
    <r>
      <rPr>
        <b/>
        <sz val="11"/>
        <color rgb="FFFFFFFF"/>
        <rFont val="Calibri"/>
        <family val="2"/>
      </rPr>
      <t xml:space="preserve">Pol 02: </t>
    </r>
    <r>
      <rPr>
        <sz val="11"/>
        <color indexed="9"/>
        <rFont val="Calibri"/>
        <family val="2"/>
      </rPr>
      <t>Heating and hot water is supplied by:</t>
    </r>
  </si>
  <si>
    <t>Pre-requisite: statutory obligations fulfilled</t>
  </si>
  <si>
    <t>Ene 01Tx</t>
  </si>
  <si>
    <t>Wat 01Tx</t>
  </si>
  <si>
    <t>Wst 01TX</t>
  </si>
  <si>
    <t>Wst 01Tx</t>
  </si>
  <si>
    <t>EU taxonomy requirement: criterion 1</t>
  </si>
  <si>
    <t>Mat 06d</t>
  </si>
  <si>
    <t>1.1</t>
  </si>
  <si>
    <r>
      <rPr>
        <b/>
        <sz val="11"/>
        <color rgb="FF000000"/>
        <rFont val="Calibri"/>
        <family val="2"/>
      </rPr>
      <t>Wat 01, Wst 01, Ene 01</t>
    </r>
    <r>
      <rPr>
        <sz val="11"/>
        <color indexed="8"/>
        <rFont val="Calibri"/>
        <family val="2"/>
      </rPr>
      <t xml:space="preserve">: EU taxonomy requirement added
</t>
    </r>
    <r>
      <rPr>
        <b/>
        <sz val="11"/>
        <color rgb="FF000000"/>
        <rFont val="Calibri"/>
        <family val="2"/>
      </rPr>
      <t xml:space="preserve">Mat 06: </t>
    </r>
    <r>
      <rPr>
        <sz val="11"/>
        <color indexed="8"/>
        <rFont val="Calibri"/>
        <family val="2"/>
      </rPr>
      <t xml:space="preserve">Added minimum req: mapping for component reuse  - criterion 1
</t>
    </r>
    <r>
      <rPr>
        <b/>
        <sz val="11"/>
        <color rgb="FF000000"/>
        <rFont val="Calibri"/>
        <family val="2"/>
      </rPr>
      <t>Wat 01:</t>
    </r>
    <r>
      <rPr>
        <sz val="11"/>
        <color indexed="8"/>
        <rFont val="Calibri"/>
        <family val="2"/>
      </rPr>
      <t xml:space="preserve"> Updated Minimum requirements
</t>
    </r>
    <r>
      <rPr>
        <b/>
        <sz val="11"/>
        <color rgb="FF000000"/>
        <rFont val="Calibri"/>
        <family val="2"/>
      </rPr>
      <t>LE 01:</t>
    </r>
    <r>
      <rPr>
        <sz val="11"/>
        <color indexed="8"/>
        <rFont val="Calibri"/>
        <family val="2"/>
      </rPr>
      <t xml:space="preserve"> Updated Minimum requirements 
</t>
    </r>
    <r>
      <rPr>
        <b/>
        <sz val="11"/>
        <color rgb="FF000000"/>
        <rFont val="Calibri"/>
        <family val="2"/>
      </rPr>
      <t>Hea 02:</t>
    </r>
    <r>
      <rPr>
        <sz val="11"/>
        <color indexed="8"/>
        <rFont val="Calibri"/>
        <family val="2"/>
      </rPr>
      <t xml:space="preserve"> Updated pre-requisite for industrial building without office
</t>
    </r>
    <r>
      <rPr>
        <b/>
        <sz val="11"/>
        <color rgb="FF000000"/>
        <rFont val="Calibri"/>
        <family val="2"/>
      </rPr>
      <t xml:space="preserve">Pol 05: </t>
    </r>
    <r>
      <rPr>
        <sz val="11"/>
        <color indexed="8"/>
        <rFont val="Calibri"/>
        <family val="2"/>
      </rPr>
      <t>Updated building categories</t>
    </r>
  </si>
  <si>
    <t>1.2</t>
  </si>
  <si>
    <r>
      <rPr>
        <b/>
        <sz val="11"/>
        <color rgb="FF000000"/>
        <rFont val="Calibri"/>
        <family val="2"/>
      </rPr>
      <t xml:space="preserve">Le 01: </t>
    </r>
    <r>
      <rPr>
        <sz val="11"/>
        <color rgb="FF000000"/>
        <rFont val="Calibri"/>
        <family val="2"/>
      </rPr>
      <t xml:space="preserve">Fixed Minimum req: agricultural area / forest - criterion 2 for EU taxonomy
</t>
    </r>
    <r>
      <rPr>
        <b/>
        <sz val="11"/>
        <color rgb="FF000000"/>
        <rFont val="Calibri"/>
        <family val="2"/>
      </rPr>
      <t>Mat 06:</t>
    </r>
    <r>
      <rPr>
        <sz val="11"/>
        <color rgb="FF000000"/>
        <rFont val="Calibri"/>
        <family val="2"/>
      </rPr>
      <t xml:space="preserve"> If no Demolition in the development area (mapping for component reuse): criteria is filtered out of the assessment.
</t>
    </r>
    <r>
      <rPr>
        <b/>
        <sz val="11"/>
        <color rgb="FF000000"/>
        <rFont val="Calibri"/>
        <family val="2"/>
      </rPr>
      <t>Man 03:</t>
    </r>
    <r>
      <rPr>
        <sz val="11"/>
        <color rgb="FF000000"/>
        <rFont val="Calibri"/>
        <family val="2"/>
      </rPr>
      <t xml:space="preserve"> Added Considerate contruction: INSTA 800 and checklist A1 for EU taxonomy.
</t>
    </r>
    <r>
      <rPr>
        <b/>
        <sz val="11"/>
        <color rgb="FF000000"/>
        <rFont val="Calibri"/>
        <family val="2"/>
      </rPr>
      <t>Hea 02</t>
    </r>
    <r>
      <rPr>
        <sz val="11"/>
        <color rgb="FF000000"/>
        <rFont val="Calibri"/>
        <family val="2"/>
      </rPr>
      <t xml:space="preserve">: - Requirement: The project must have achieved credits in </t>
    </r>
    <r>
      <rPr>
        <b/>
        <sz val="11"/>
        <color rgb="FF000000"/>
        <rFont val="Calibri"/>
        <family val="2"/>
      </rPr>
      <t xml:space="preserve">Mat 05 </t>
    </r>
    <r>
      <rPr>
        <sz val="11"/>
        <color rgb="FF000000"/>
        <rFont val="Calibri"/>
        <family val="2"/>
      </rPr>
      <t xml:space="preserve">criteria 6–8
</t>
    </r>
    <r>
      <rPr>
        <b/>
        <sz val="11"/>
        <color rgb="FF000000"/>
        <rFont val="Calibri"/>
        <family val="2"/>
      </rPr>
      <t xml:space="preserve">Ene 07: </t>
    </r>
    <r>
      <rPr>
        <sz val="11"/>
        <color rgb="FF000000"/>
        <rFont val="Calibri"/>
        <family val="2"/>
      </rPr>
      <t>Fixed This issue is not applicable to school buildings (primary and secondary level).</t>
    </r>
  </si>
  <si>
    <t>Achieved</t>
  </si>
  <si>
    <t>Not achieved</t>
  </si>
  <si>
    <r>
      <t>Ene 02:</t>
    </r>
    <r>
      <rPr>
        <sz val="11"/>
        <color rgb="FFFFFFFF"/>
        <rFont val="Calibri"/>
        <family val="2"/>
      </rPr>
      <t xml:space="preserve"> Sub-metering of high energy loads and tenancy areas. Is post-occupancy stage Ene 01 credits targeted?</t>
    </r>
  </si>
  <si>
    <r>
      <rPr>
        <b/>
        <sz val="11"/>
        <color indexed="9"/>
        <rFont val="Calibri"/>
        <family val="2"/>
      </rPr>
      <t xml:space="preserve">Hea 02, Hea 03: </t>
    </r>
    <r>
      <rPr>
        <sz val="11"/>
        <color indexed="9"/>
        <rFont val="Calibri"/>
        <family val="2"/>
      </rPr>
      <t>Does this industrial building have an office area or other occupied space?</t>
    </r>
  </si>
  <si>
    <t>1.3</t>
  </si>
  <si>
    <t>Description of changes/additions made to the BREEAM Assessment Pre-Assessment Estimator</t>
  </si>
  <si>
    <t>Hea 01g</t>
  </si>
  <si>
    <t>Pre-requisite: limitation of light flicker and stroboscopic effect</t>
  </si>
  <si>
    <t>Pre-requisite: daylight assessments</t>
  </si>
  <si>
    <r>
      <rPr>
        <b/>
        <sz val="11"/>
        <color rgb="FF000000"/>
        <rFont val="Calibri"/>
        <family val="2"/>
      </rPr>
      <t xml:space="preserve">EU taxonomy requirement: </t>
    </r>
    <r>
      <rPr>
        <sz val="11"/>
        <color rgb="FF000000"/>
        <rFont val="Calibri"/>
        <family val="2"/>
      </rPr>
      <t xml:space="preserve">Updtated all requirements, added table under Summary of Building Performance
</t>
    </r>
    <r>
      <rPr>
        <b/>
        <sz val="11"/>
        <color rgb="FF000000"/>
        <rFont val="Calibri"/>
        <family val="2"/>
      </rPr>
      <t>Hea 01</t>
    </r>
    <r>
      <rPr>
        <sz val="11"/>
        <color rgb="FF000000"/>
        <rFont val="Calibri"/>
        <family val="2"/>
      </rPr>
      <t xml:space="preserve">: Pre-requisite requirement splitted in two: </t>
    </r>
    <r>
      <rPr>
        <i/>
        <sz val="11"/>
        <color rgb="FF000000"/>
        <rFont val="Calibri"/>
        <family val="2"/>
      </rPr>
      <t>limitation of light flicker and stroboscopic effect</t>
    </r>
    <r>
      <rPr>
        <sz val="11"/>
        <color rgb="FF000000"/>
        <rFont val="Calibri"/>
        <family val="2"/>
      </rPr>
      <t xml:space="preserve"> and </t>
    </r>
    <r>
      <rPr>
        <i/>
        <sz val="11"/>
        <color rgb="FF000000"/>
        <rFont val="Calibri"/>
        <family val="2"/>
      </rPr>
      <t>daylight assessments</t>
    </r>
    <r>
      <rPr>
        <b/>
        <sz val="11"/>
        <color rgb="FF000000"/>
        <rFont val="Calibri"/>
        <family val="2"/>
      </rPr>
      <t xml:space="preserve">
General</t>
    </r>
    <r>
      <rPr>
        <sz val="11"/>
        <color rgb="FF000000"/>
        <rFont val="Calibri"/>
        <family val="2"/>
      </rPr>
      <t>: Fixed general issues, added filter PAE available for copy.</t>
    </r>
  </si>
  <si>
    <t>Næring</t>
  </si>
  <si>
    <t>Offentlig bygg (ikke boligformål)</t>
  </si>
  <si>
    <t>Boliger</t>
  </si>
  <si>
    <t>Flerboerbygg og omsorgsboliger</t>
  </si>
  <si>
    <t>Considerate contruction: clean and tidy building process and checklist A1 (EU taxonomy requirement: criterion 7-9)</t>
  </si>
  <si>
    <t>Considerate contruction: INSTA 800 and checklist A1 (EU taxonomy requirement: criterion 7-9)</t>
  </si>
  <si>
    <t>Emissions from construction products (EU taxonomy requirement: criterion 5)</t>
  </si>
  <si>
    <t>Minimum req: agricultural area / forest (EU taxonomy requirement: criterion 2)</t>
  </si>
  <si>
    <t>Survey and evaluation (EU taxonomy requirement: criterion 2-4)</t>
  </si>
  <si>
    <t>Risk assessment (EU taxonomy requirement: criterion 1-6)</t>
  </si>
  <si>
    <t>Minimum req: absence of environmental toxins (EU taxonomy requirement: criterion 1)</t>
  </si>
  <si>
    <t>Hea 02: Emissions from construction products</t>
  </si>
  <si>
    <t>Mat 03 - Responsible sourcing of mat. - Crit 1.</t>
  </si>
  <si>
    <t>Option 2: - 50% credit</t>
  </si>
  <si>
    <t>Mat 03 Responsible sourcing of mat. - Crit 1.</t>
  </si>
  <si>
    <t>Pre-requisite: flicker reduction and daylight calculations</t>
  </si>
  <si>
    <t>Minimum requirement</t>
  </si>
  <si>
    <t/>
  </si>
  <si>
    <t>Considerate contruction: INSTA 800 and checklist A1: criterion 7-9</t>
  </si>
  <si>
    <t>Emissions from construction products: criterion 5</t>
  </si>
  <si>
    <t>Minimum req: absence of environmental toxins: criterion 1</t>
  </si>
  <si>
    <t>Waste sorting ≥70%: criterion 4</t>
  </si>
  <si>
    <t>Minimum req: agricultural area / forest: criterion 2</t>
  </si>
  <si>
    <t>Survey and evaluation: criterion 2-4</t>
  </si>
  <si>
    <t>Risk assessment: criterion 1-6</t>
  </si>
  <si>
    <t>endret tabell F253R253 for tax ene, wat og wst</t>
  </si>
  <si>
    <t>Adaptation to EU taxonomy</t>
  </si>
  <si>
    <t>la inn under tabell tax at hvis poeng høyere enn krav, så sort</t>
  </si>
  <si>
    <t>Design for disassembly and functional adaptability - recommendations (EU taxonomy requirement: criterion 2-3)</t>
  </si>
  <si>
    <t>Disassembly and functional adaptability - implementation (EU taxonomy requirement: criterion 4-6)</t>
  </si>
  <si>
    <t>Design for disassembly and functional adaptability - recommendations: criterion 2-3</t>
  </si>
  <si>
    <t>Disassembly and functional adaptability - implementation: criterion 4-6</t>
  </si>
  <si>
    <t>fikset tekst mat 07 (2-3 og 4-6)</t>
  </si>
  <si>
    <t>fikset - tatt bort tax le 03</t>
  </si>
  <si>
    <t>endret ene 01.  Adaptation to EU taxonomy (criterion 12) til Adaptation to EU taxonomy. Både under poeng og tax tabell</t>
  </si>
  <si>
    <t>1.4</t>
  </si>
  <si>
    <t>Fikset, celle Z91, 92, z 94 under poeng. 
2.	I manualen står det på både Ene 07 og Ene 08 at gjeldende vurderingskriterier er «Ikke tilgjengelig» om man har et uinnredet bygg. Men i pre-analysen er det mulig å velge både Ene 07 og Ene 08 selv om man har valgt prosjekt-type «New Construction (shell and core). You fix?</t>
  </si>
  <si>
    <t>H16 assessment details. Bytta ADIND_option02 uder poeng med ADIND_option02n</t>
  </si>
  <si>
    <t>N60 poeng - hea 06 short term 1 poeng. U 60 poeng er filter</t>
  </si>
  <si>
    <t>legg inn rad på LE03 - pre req under pre ass estimatro og pae availabe fo ropy</t>
  </si>
  <si>
    <t>Ene 087 indiustri er tilgjengelig</t>
  </si>
  <si>
    <t>lagt til ene 07 på industri. Både unde poeng og juster filter under aa details</t>
  </si>
  <si>
    <r>
      <t xml:space="preserve">EU taxonomy requirement: </t>
    </r>
    <r>
      <rPr>
        <sz val="11"/>
        <color rgb="FF000000"/>
        <rFont val="Calibri"/>
        <family val="2"/>
      </rPr>
      <t>Ene 01, Wat 01, Wst 01 requirement for all building types</t>
    </r>
    <r>
      <rPr>
        <b/>
        <sz val="11"/>
        <color rgb="FF000000"/>
        <rFont val="Calibri"/>
        <family val="2"/>
      </rPr>
      <t xml:space="preserve">
Ene 01, Mat 07: </t>
    </r>
    <r>
      <rPr>
        <sz val="11"/>
        <color rgb="FF000000"/>
        <rFont val="Calibri"/>
        <family val="2"/>
      </rPr>
      <t>Updated Assessment text</t>
    </r>
    <r>
      <rPr>
        <b/>
        <sz val="11"/>
        <color rgb="FF000000"/>
        <rFont val="Calibri"/>
        <family val="2"/>
      </rPr>
      <t xml:space="preserve">
LE03: </t>
    </r>
    <r>
      <rPr>
        <sz val="11"/>
        <color rgb="FF000000"/>
        <rFont val="Calibri"/>
        <family val="2"/>
      </rPr>
      <t xml:space="preserve">Removed EU taxonomy requirement
</t>
    </r>
    <r>
      <rPr>
        <b/>
        <sz val="11"/>
        <color rgb="FF000000"/>
        <rFont val="Calibri"/>
        <family val="2"/>
      </rPr>
      <t>Ene 07 and Ene 08:</t>
    </r>
    <r>
      <rPr>
        <sz val="11"/>
        <color rgb="FF000000"/>
        <rFont val="Calibri"/>
        <family val="2"/>
      </rPr>
      <t xml:space="preserve"> Not available when New Construction (shell and core).
</t>
    </r>
    <r>
      <rPr>
        <b/>
        <sz val="11"/>
        <color rgb="FF000000"/>
        <rFont val="Calibri"/>
        <family val="2"/>
      </rPr>
      <t>Hea 06:</t>
    </r>
    <r>
      <rPr>
        <sz val="11"/>
        <color rgb="FF000000"/>
        <rFont val="Calibri"/>
        <family val="2"/>
      </rPr>
      <t xml:space="preserve"> Inclusive design. 1 credit available when Residental long and short term stay, except residental care home with 2 credits available.
</t>
    </r>
    <r>
      <rPr>
        <b/>
        <sz val="11"/>
        <color rgb="FF000000"/>
        <rFont val="Calibri"/>
        <family val="2"/>
      </rPr>
      <t>LE03:</t>
    </r>
    <r>
      <rPr>
        <sz val="11"/>
        <color rgb="FF000000"/>
        <rFont val="Calibri"/>
        <family val="2"/>
      </rPr>
      <t xml:space="preserve"> Added Pre-requisite: Ecological risks and opportunities under Pre-Assessment Estimator
</t>
    </r>
    <r>
      <rPr>
        <b/>
        <sz val="11"/>
        <color rgb="FF000000"/>
        <rFont val="Calibri"/>
        <family val="2"/>
      </rPr>
      <t>Ene 07:</t>
    </r>
    <r>
      <rPr>
        <sz val="11"/>
        <color rgb="FF000000"/>
        <rFont val="Calibri"/>
        <family val="2"/>
      </rPr>
      <t xml:space="preserve"> Available for industrial buildings</t>
    </r>
  </si>
  <si>
    <t>Pre-requisite: A site-specific indoor air quality plan has been produced</t>
  </si>
  <si>
    <t>til bruk for hea 02</t>
  </si>
  <si>
    <t>Må fikses bespoke og sr</t>
  </si>
  <si>
    <t>Assessmet issue scoringE823 mat 05 control plan må ikke være grået ut selv om no er valgt</t>
  </si>
  <si>
    <t>endre navn under poeng fanen hea 02 pre : Pre-requisite: A site-specific indoor air quality plan has been produced</t>
  </si>
  <si>
    <t>i ass iss scor. Hea 02. når pre req er no ller please blir likevel summen og poeng tilgjengelig. Mpå rettes</t>
  </si>
  <si>
    <t>hea 06 incluseinve poeng fane, celle U60. endre fra Z6 til Z7. skal gi 2 poeng for sheltered - omsorgsbolig</t>
  </si>
  <si>
    <t>wat 01 For boligbygg så kommer det ikke opp samsvar med EU taks fordi krit 2 kun er for næringsbygg. Fikset under poeg taks fane og summary building fase</t>
  </si>
  <si>
    <t>mat 06 ved filter ut pga ikke oråde som skal kartelgges filterres ikke taks ut. Fikset under poeg taks fane og summary building fase</t>
  </si>
  <si>
    <t>hea 02 ved filter ut pga ikke industri - ta ut fra taksonomi . Fikset under poeg taks fane og summary building fase</t>
  </si>
  <si>
    <t>wat 03Skal kun være mulig å oppnå kriterium 3 for enebolig. Pt går det an å oppfylle kriterium 1 også.</t>
  </si>
  <si>
    <t>1.5</t>
  </si>
  <si>
    <t>Oppdatert kommentar Ene 01 under ore assesment estimator</t>
  </si>
  <si>
    <t>oppdatert ai70 til ak70 under poeng - nå bør det fubgere ene 01 hea 03</t>
  </si>
  <si>
    <t>flyttet spørsmål ass det opp et hakk e11</t>
  </si>
  <si>
    <r>
      <rPr>
        <b/>
        <sz val="11"/>
        <color rgb="FFFFFFFF"/>
        <rFont val="Calibri"/>
        <family val="2"/>
      </rPr>
      <t>Wat 03:</t>
    </r>
    <r>
      <rPr>
        <sz val="11"/>
        <color indexed="9"/>
        <rFont val="Calibri"/>
        <family val="2"/>
      </rPr>
      <t xml:space="preserve"> WC facilities are only provided within the residential areas?</t>
    </r>
  </si>
  <si>
    <t>la til spørsmål wat 03 ass det for langtid bolig</t>
  </si>
  <si>
    <r>
      <rPr>
        <b/>
        <sz val="11"/>
        <color rgb="FF000000"/>
        <rFont val="Calibri"/>
        <family val="2"/>
      </rPr>
      <t>Hea 02:</t>
    </r>
    <r>
      <rPr>
        <sz val="11"/>
        <color rgb="FF000000"/>
        <rFont val="Calibri"/>
        <family val="2"/>
      </rPr>
      <t xml:space="preserve"> Updated requirement Hea 02: Compliance with Mat 05 criteria 6–8 Control plan and moisture measurements (no need for Mat 05 Pre-requisite: risk analysis)
</t>
    </r>
    <r>
      <rPr>
        <b/>
        <sz val="11"/>
        <color rgb="FF000000"/>
        <rFont val="Calibri"/>
        <family val="2"/>
      </rPr>
      <t xml:space="preserve">Hea 01:  </t>
    </r>
    <r>
      <rPr>
        <sz val="11"/>
        <color rgb="FF000000"/>
        <rFont val="Calibri"/>
        <family val="2"/>
      </rPr>
      <t xml:space="preserve">Control of glare from sunlight available for commercial buildings and public buildings only
</t>
    </r>
    <r>
      <rPr>
        <b/>
        <sz val="11"/>
        <color rgb="FF000000"/>
        <rFont val="Calibri"/>
        <family val="2"/>
      </rPr>
      <t>Hea 01:</t>
    </r>
    <r>
      <rPr>
        <sz val="11"/>
        <color rgb="FF000000"/>
        <rFont val="Calibri"/>
        <family val="2"/>
      </rPr>
      <t xml:space="preserve"> Updated available credits (2 credits) for Residential institution (long term stay) - sheltered home
</t>
    </r>
    <r>
      <rPr>
        <b/>
        <sz val="11"/>
        <color rgb="FF000000"/>
        <rFont val="Calibri"/>
        <family val="2"/>
      </rPr>
      <t>Wat 01:</t>
    </r>
    <r>
      <rPr>
        <sz val="11"/>
        <color rgb="FF000000"/>
        <rFont val="Calibri"/>
        <family val="2"/>
      </rPr>
      <t xml:space="preserve"> Single dwellings - criterion 3 only applicable
</t>
    </r>
    <r>
      <rPr>
        <b/>
        <sz val="11"/>
        <color rgb="FF000000"/>
        <rFont val="Calibri"/>
        <family val="2"/>
      </rPr>
      <t>Wat 03:</t>
    </r>
    <r>
      <rPr>
        <sz val="11"/>
        <color rgb="FF000000"/>
        <rFont val="Calibri"/>
        <family val="2"/>
      </rPr>
      <t xml:space="preserve"> Added function for</t>
    </r>
    <r>
      <rPr>
        <i/>
        <sz val="11"/>
        <color rgb="FF000000"/>
        <rFont val="Calibri"/>
        <family val="2"/>
      </rPr>
      <t xml:space="preserve"> WC facilities are only provided within the residential areas</t>
    </r>
    <r>
      <rPr>
        <sz val="11"/>
        <color rgb="FF000000"/>
        <rFont val="Calibri"/>
        <family val="2"/>
      </rPr>
      <t xml:space="preserve">, for Residential institution (long term stay)
</t>
    </r>
    <r>
      <rPr>
        <b/>
        <sz val="11"/>
        <color rgb="FF000000"/>
        <rFont val="Calibri"/>
        <family val="2"/>
      </rPr>
      <t xml:space="preserve">EU taxonomy requirement: </t>
    </r>
    <r>
      <rPr>
        <sz val="11"/>
        <color rgb="FF000000"/>
        <rFont val="Calibri"/>
        <family val="2"/>
      </rPr>
      <t>updated Wat 01 (residential), Mat 06 and Hea 02: if no credits  available: EU taxonomy requirement is N/A</t>
    </r>
  </si>
  <si>
    <t>V1.6</t>
  </si>
  <si>
    <t>Ene 01Tx2</t>
  </si>
  <si>
    <t>legg til yes no under adaptio to eu tax</t>
  </si>
  <si>
    <t>oppdater tabell poeng</t>
  </si>
  <si>
    <t>fiks kobling mot krav taksonomi</t>
  </si>
  <si>
    <t>I dag filtreres kriteriene for control of glare from sunlight og internal and external lighting levels, zoning and control ut for en rekke bygningskategorier. Dette skal kun filtreres ut for bygningskategori residential.</t>
  </si>
  <si>
    <t>rette opp under fane poeng</t>
  </si>
  <si>
    <r>
      <t xml:space="preserve">Poengoppnåelse i Hea 02 er avhengig av at prosjektene har gjennomført forkravet, som inkluderer kriterier for </t>
    </r>
    <r>
      <rPr>
        <i/>
        <sz val="11"/>
        <color theme="1"/>
        <rFont val="Calibri"/>
        <family val="2"/>
      </rPr>
      <t xml:space="preserve">Control plan and moisture measurements </t>
    </r>
    <r>
      <rPr>
        <sz val="11"/>
        <color theme="1"/>
        <rFont val="Calibri"/>
        <family val="2"/>
      </rPr>
      <t>(uten poengoppnåelse)</t>
    </r>
    <r>
      <rPr>
        <i/>
        <sz val="11"/>
        <color theme="1"/>
        <rFont val="Calibri"/>
        <family val="2"/>
      </rPr>
      <t xml:space="preserve">. </t>
    </r>
    <r>
      <rPr>
        <sz val="11"/>
        <color theme="1"/>
        <rFont val="Calibri"/>
        <family val="2"/>
      </rPr>
      <t xml:space="preserve">I Construction phase progression er det koblet feil, slik at det det er kriteriet </t>
    </r>
    <r>
      <rPr>
        <i/>
        <sz val="11"/>
        <color theme="1"/>
        <rFont val="Calibri"/>
        <family val="2"/>
      </rPr>
      <t xml:space="preserve">Construction under cover </t>
    </r>
    <r>
      <rPr>
        <sz val="11"/>
        <color theme="1"/>
        <rFont val="Calibri"/>
        <family val="2"/>
      </rPr>
      <t>som er knyttet til forkravet. Initial target og design phase har riktig kriterium.</t>
    </r>
  </si>
  <si>
    <t>fane poeng: AK281 rettet til 35 og ikke 36</t>
  </si>
  <si>
    <t>EU taxonomy requirements skal ikke filtreres ut for bygningskategori Residential. Kriteriet gjelder alle bygningskategorier</t>
  </si>
  <si>
    <t>Fane poeng, H254 - la til Yes/nop</t>
  </si>
  <si>
    <t>Waste sorting, reuse, and recycling</t>
  </si>
  <si>
    <t>endret BD, BF og BJ i rad 158 poeng</t>
  </si>
  <si>
    <t>endret rad 251 BD til BK poeng</t>
  </si>
  <si>
    <t>EU taxonomy requirement: criterion 4, ready for reuse &gt;70%</t>
  </si>
  <si>
    <t>endret navn til ready for reuse &gt;70%”</t>
  </si>
  <si>
    <t>Mat 05 og Hea 02</t>
  </si>
  <si>
    <t>Sammenhengen mellom forkravet i Hea 02 og Mat 05 skurrer:</t>
  </si>
  <si>
    <t>endret i fane poeng: ai48:ak50 - lagt til =0 i OR</t>
  </si>
  <si>
    <t>Considerate contruction: clean and tidy building process and checklist A1 (EU taxonomy requirement: criterion 5-6)</t>
  </si>
  <si>
    <t>Endre til Considerate contruction: clean and tidy building process and checklist A1 (EU taxonomy requirement: criterion 5-6)</t>
  </si>
  <si>
    <t>lagt til clle BA 49 poeng</t>
  </si>
  <si>
    <t xml:space="preserve">I Hea 02 er det en feilkobling av poeng og sertifiseringsnivå. For emissions from construction products (EU taxonomy requirement: criterion 5) skal 0 poeng tilsvare sertifiseringsnivå Good, 1 poeng Very Good og 2 poeng Outstanding. </t>
  </si>
  <si>
    <t>WC facilities are only provided within the residential areas</t>
  </si>
  <si>
    <t>Staff WC etc. outside the residential areas</t>
  </si>
  <si>
    <t>assessment details</t>
  </si>
  <si>
    <t>R22 R23 endre til</t>
  </si>
  <si>
    <t>1.6</t>
  </si>
  <si>
    <r>
      <rPr>
        <b/>
        <sz val="11"/>
        <color rgb="FF000000"/>
        <rFont val="Calibri"/>
        <family val="2"/>
      </rPr>
      <t xml:space="preserve">Ene 01: </t>
    </r>
    <r>
      <rPr>
        <sz val="11"/>
        <color rgb="FF000000"/>
        <rFont val="Calibri"/>
        <family val="2"/>
      </rPr>
      <t xml:space="preserve">Updated adaptation to EU taxonomy
</t>
    </r>
    <r>
      <rPr>
        <b/>
        <sz val="11"/>
        <color rgb="FF000000"/>
        <rFont val="Calibri"/>
        <family val="2"/>
      </rPr>
      <t>Hea 01:</t>
    </r>
    <r>
      <rPr>
        <sz val="11"/>
        <color rgb="FF000000"/>
        <rFont val="Calibri"/>
        <family val="2"/>
      </rPr>
      <t xml:space="preserve"> Control of glare from sunlight og internal and external lighting levels, zoning and control not available for residential
</t>
    </r>
    <r>
      <rPr>
        <b/>
        <sz val="11"/>
        <color rgb="FF000000"/>
        <rFont val="Calibri"/>
        <family val="2"/>
      </rPr>
      <t>Hea 02</t>
    </r>
    <r>
      <rPr>
        <sz val="11"/>
        <color rgb="FF000000"/>
        <rFont val="Calibri"/>
        <family val="2"/>
      </rPr>
      <t xml:space="preserve">: Corrected calculation for construction phase
</t>
    </r>
    <r>
      <rPr>
        <b/>
        <sz val="11"/>
        <color rgb="FF000000"/>
        <rFont val="Calibri"/>
        <family val="2"/>
      </rPr>
      <t xml:space="preserve">Wat 01: </t>
    </r>
    <r>
      <rPr>
        <sz val="11"/>
        <color rgb="FF000000"/>
        <rFont val="Calibri"/>
        <family val="2"/>
      </rPr>
      <t xml:space="preserve">EU taxonomy available for residential
</t>
    </r>
    <r>
      <rPr>
        <b/>
        <sz val="11"/>
        <color rgb="FF000000"/>
        <rFont val="Calibri"/>
        <family val="2"/>
      </rPr>
      <t>Wst 01:</t>
    </r>
    <r>
      <rPr>
        <sz val="11"/>
        <color rgb="FF000000"/>
        <rFont val="Calibri"/>
        <family val="2"/>
      </rPr>
      <t xml:space="preserve"> Updated calculations</t>
    </r>
  </si>
  <si>
    <r>
      <t xml:space="preserve">Hvis man skal ta forkravet i HEA02, dvs </t>
    </r>
    <r>
      <rPr>
        <i/>
        <sz val="11"/>
        <color theme="1"/>
        <rFont val="Calibri"/>
        <family val="2"/>
        <scheme val="minor"/>
      </rPr>
      <t>indoor air quality plan</t>
    </r>
    <r>
      <rPr>
        <sz val="11"/>
        <color theme="1"/>
        <rFont val="Calibri"/>
        <family val="2"/>
        <scheme val="minor"/>
      </rPr>
      <t xml:space="preserve"> og kriteriene 6-8 </t>
    </r>
    <r>
      <rPr>
        <i/>
        <sz val="11"/>
        <color theme="1"/>
        <rFont val="Calibri"/>
        <family val="2"/>
        <scheme val="minor"/>
      </rPr>
      <t>Control plan and moisture measurements</t>
    </r>
    <r>
      <rPr>
        <sz val="11"/>
        <color theme="1"/>
        <rFont val="Calibri"/>
        <family val="2"/>
        <scheme val="minor"/>
      </rPr>
      <t xml:space="preserve"> i MAT05, men ikke forkravet, må man slik det er nå aktivt velge «No» i spørsmålet om forkrav, og så legge inn 1 poeng i krit 6-8. Poenget blir da ikke telt med i scoren.</t>
    </r>
  </si>
  <si>
    <t>Hvis man derimot ikke skriver noe i forkravet, men fortsatt legger inn 1 poeng i krit 6-8 blir poenget tellende med. Dette er uheldig. Vi ønsker dette endret til at poenget kun tildeles dersom det aktivt velges «yes» under forkravet i Mat 05. Slik kan man legge inn 1 under kriterium 6-8 for å vise samsvar med forkravet i Hea 02, men ikke ta poenget i Mat 05.</t>
  </si>
  <si>
    <t>Gir det mening?</t>
  </si>
  <si>
    <t>Climate gas calculation for whole building life cycle</t>
  </si>
  <si>
    <t>Man 01Tx</t>
  </si>
  <si>
    <t>EU taxonomy requirements: criterion 3</t>
  </si>
  <si>
    <t>Fra 02.02.24</t>
  </si>
  <si>
    <t xml:space="preserve">•	Vi må skille taksonomioppnåelse og poengoppnåelse i Man 01 "climate gas calculation for whole building life cycle". Det vil si samme løsning som i Ene 01, slikt at det først er en linje for poengoppnåelse kalt «Climate gas calculation for the whole building life cycle» og under en linje for «EU taxonomy requirements: criterion 3» som er en ja/nei-celle for taksonomioppnåelse.
</t>
  </si>
  <si>
    <t>Delt opp Man 1, endret navn under poeng</t>
  </si>
  <si>
    <t>Tatt bort tax poeng man 01</t>
  </si>
  <si>
    <t>Lagt til rad 248 under poeng</t>
  </si>
  <si>
    <t>oppdatert summarty poeng</t>
  </si>
  <si>
    <t>Considerate contruction: clean and tidy building process and checklist A1: criterion 5-6</t>
  </si>
  <si>
    <t>EU taxonomy requirements: criterion 9 and 10</t>
  </si>
  <si>
    <t>EU taxonomy requirements: criterion 2</t>
  </si>
  <si>
    <t>Minimum req: mapping for component reuse - criterion 1 (EU taxonomy requirement: criterion 1)</t>
  </si>
  <si>
    <t>Mapping for component reuse and implementation: criterion 1</t>
  </si>
  <si>
    <r>
      <t> </t>
    </r>
    <r>
      <rPr>
        <b/>
        <sz val="11"/>
        <color theme="1"/>
        <rFont val="Calibri"/>
        <family val="2"/>
        <scheme val="minor"/>
      </rPr>
      <t>Oppdatere taksonomi-listen under Summary of building performance:</t>
    </r>
  </si>
  <si>
    <r>
      <t>·</t>
    </r>
    <r>
      <rPr>
        <sz val="7"/>
        <color theme="1"/>
        <rFont val="Times New Roman"/>
        <family val="1"/>
      </rPr>
      <t xml:space="preserve">         </t>
    </r>
    <r>
      <rPr>
        <sz val="11"/>
        <color theme="1"/>
        <rFont val="Calibri"/>
        <family val="2"/>
        <scheme val="minor"/>
      </rPr>
      <t>Man 01: kun kriterium 3</t>
    </r>
  </si>
  <si>
    <r>
      <t>·</t>
    </r>
    <r>
      <rPr>
        <sz val="7"/>
        <color theme="1"/>
        <rFont val="Times New Roman"/>
        <family val="1"/>
      </rPr>
      <t xml:space="preserve">         </t>
    </r>
    <r>
      <rPr>
        <sz val="11"/>
        <color theme="1"/>
        <rFont val="Calibri"/>
        <family val="2"/>
        <scheme val="minor"/>
      </rPr>
      <t>Man 03: det skal stå 5-6 på den første</t>
    </r>
  </si>
  <si>
    <r>
      <t>·</t>
    </r>
    <r>
      <rPr>
        <sz val="7"/>
        <color theme="1"/>
        <rFont val="Times New Roman"/>
        <family val="1"/>
      </rPr>
      <t xml:space="preserve">         </t>
    </r>
    <r>
      <rPr>
        <sz val="11"/>
        <color theme="1"/>
        <rFont val="Calibri"/>
        <family val="2"/>
        <scheme val="minor"/>
      </rPr>
      <t xml:space="preserve">Ene 01: den øverste skal det stå «Energy performance: criterion 9 and 10» – må også oppdateres i </t>
    </r>
    <r>
      <rPr>
        <sz val="11"/>
        <color rgb="FF242424"/>
        <rFont val="Calibri"/>
        <family val="2"/>
        <scheme val="minor"/>
      </rPr>
      <t>Pre-assessment estimator</t>
    </r>
    <r>
      <rPr>
        <b/>
        <sz val="11"/>
        <color rgb="FF242424"/>
        <rFont val="Calibri"/>
        <family val="2"/>
        <scheme val="minor"/>
      </rPr>
      <t xml:space="preserve"> </t>
    </r>
    <r>
      <rPr>
        <sz val="11"/>
        <color theme="1"/>
        <rFont val="Calibri"/>
        <family val="2"/>
        <scheme val="minor"/>
      </rPr>
      <t>scoring</t>
    </r>
  </si>
  <si>
    <r>
      <t>o</t>
    </r>
    <r>
      <rPr>
        <sz val="7"/>
        <color theme="1"/>
        <rFont val="Times New Roman"/>
        <family val="1"/>
      </rPr>
      <t xml:space="preserve">   </t>
    </r>
    <r>
      <rPr>
        <sz val="11"/>
        <color theme="1"/>
        <rFont val="Calibri"/>
        <family val="2"/>
        <scheme val="minor"/>
      </rPr>
      <t xml:space="preserve">Byttet navn fra </t>
    </r>
    <r>
      <rPr>
        <i/>
        <sz val="11"/>
        <color theme="1"/>
        <rFont val="Calibri"/>
        <family val="2"/>
        <scheme val="minor"/>
      </rPr>
      <t xml:space="preserve">EU taxonomy requirements: criterion 10 - thermographic survey </t>
    </r>
    <r>
      <rPr>
        <sz val="11"/>
        <color theme="1"/>
        <rFont val="Calibri"/>
        <family val="2"/>
        <scheme val="minor"/>
      </rPr>
      <t>til EU taxonomy requirements: criterion 9 and 10</t>
    </r>
  </si>
  <si>
    <r>
      <t>·</t>
    </r>
    <r>
      <rPr>
        <sz val="7"/>
        <color theme="1"/>
        <rFont val="Times New Roman"/>
        <family val="1"/>
      </rPr>
      <t xml:space="preserve">         </t>
    </r>
    <r>
      <rPr>
        <sz val="11"/>
        <color theme="1"/>
        <rFont val="Calibri"/>
        <family val="2"/>
        <scheme val="minor"/>
      </rPr>
      <t>Wat 01: kun kriterium 2</t>
    </r>
  </si>
  <si>
    <r>
      <t>·</t>
    </r>
    <r>
      <rPr>
        <sz val="7"/>
        <color theme="1"/>
        <rFont val="Times New Roman"/>
        <family val="1"/>
      </rPr>
      <t xml:space="preserve">         </t>
    </r>
    <r>
      <rPr>
        <sz val="11"/>
        <color theme="1"/>
        <rFont val="Calibri"/>
        <family val="2"/>
        <scheme val="minor"/>
      </rPr>
      <t>Mat 06: kun kriterium 1 – her må taksonomioppnåelsen flyttes fra poenggivningen til minstekravet</t>
    </r>
  </si>
  <si>
    <t>1.7</t>
  </si>
  <si>
    <r>
      <t xml:space="preserve">Added project type: Major Refurbishment
</t>
    </r>
    <r>
      <rPr>
        <b/>
        <sz val="11"/>
        <color rgb="FF000000"/>
        <rFont val="Calibri"/>
        <family val="2"/>
      </rPr>
      <t xml:space="preserve">Man 01: </t>
    </r>
    <r>
      <rPr>
        <sz val="11"/>
        <color rgb="FF000000"/>
        <rFont val="Calibri"/>
        <family val="2"/>
      </rPr>
      <t xml:space="preserve">Updated EU taxonomy (EU taxonomy requirements: criterion 3)
</t>
    </r>
    <r>
      <rPr>
        <b/>
        <sz val="11"/>
        <color rgb="FF000000"/>
        <rFont val="Calibri"/>
        <family val="2"/>
      </rPr>
      <t xml:space="preserve">Mat 06: </t>
    </r>
    <r>
      <rPr>
        <sz val="11"/>
        <color rgb="FF000000"/>
        <rFont val="Calibri"/>
        <family val="2"/>
      </rPr>
      <t>Updated EU taxonomy (Mapping for component reuse and implementation: criterion 1)</t>
    </r>
  </si>
  <si>
    <t>Added project type: Major Refurbishment</t>
  </si>
  <si>
    <t>Unclassified &lt;30%</t>
  </si>
  <si>
    <t>Good ≥45%</t>
  </si>
  <si>
    <t>Very Good ≥55%</t>
  </si>
  <si>
    <t>Excellent ≥70%</t>
  </si>
  <si>
    <t>Outstanding ≥85%</t>
  </si>
  <si>
    <t>Pass ≥30%</t>
  </si>
  <si>
    <t>EU taxonomy requirements: criterion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</si>
</sst>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
    <numFmt numFmtId="165" formatCode="[$-F800]dddd\,\ mmmm\ dd\,\ yyyy"/>
    <numFmt numFmtId="166" formatCode="0.0"/>
  </numFmts>
  <fonts count="120" x14ac:knownFonts="1">
    <font>
      <sz val="11"/>
      <color theme="1"/>
      <name val="Calibri"/>
      <family val="2"/>
      <scheme val="minor"/>
    </font>
    <font>
      <sz val="11"/>
      <color indexed="8"/>
      <name val="Calibri"/>
      <family val="2"/>
    </font>
    <font>
      <sz val="10"/>
      <name val="Arial"/>
      <family val="2"/>
    </font>
    <font>
      <sz val="9"/>
      <color indexed="8"/>
      <name val="Calibri"/>
      <family val="2"/>
    </font>
    <font>
      <sz val="12"/>
      <color indexed="8"/>
      <name val="Calibri"/>
      <family val="2"/>
    </font>
    <font>
      <sz val="12"/>
      <name val="Calibri"/>
      <family val="2"/>
    </font>
    <font>
      <sz val="11"/>
      <color indexed="8"/>
      <name val="Calibri"/>
      <family val="2"/>
    </font>
    <font>
      <sz val="11"/>
      <color indexed="9"/>
      <name val="Calibri"/>
      <family val="2"/>
    </font>
    <font>
      <b/>
      <sz val="11"/>
      <color indexed="9"/>
      <name val="Calibri"/>
      <family val="2"/>
    </font>
    <font>
      <sz val="11"/>
      <name val="Calibri"/>
      <family val="2"/>
    </font>
    <font>
      <b/>
      <sz val="12"/>
      <color indexed="8"/>
      <name val="Calibri"/>
      <family val="2"/>
    </font>
    <font>
      <sz val="12"/>
      <color indexed="8"/>
      <name val="Calibri"/>
      <family val="2"/>
    </font>
    <font>
      <sz val="11"/>
      <color indexed="57"/>
      <name val="Calibri"/>
      <family val="2"/>
    </font>
    <font>
      <i/>
      <sz val="11"/>
      <color indexed="23"/>
      <name val="Calibri"/>
      <family val="2"/>
    </font>
    <font>
      <b/>
      <sz val="11"/>
      <color indexed="10"/>
      <name val="Calibri"/>
      <family val="2"/>
    </font>
    <font>
      <sz val="9"/>
      <color indexed="8"/>
      <name val="Calibri"/>
      <family val="2"/>
    </font>
    <font>
      <sz val="12"/>
      <color indexed="9"/>
      <name val="Calibri"/>
      <family val="2"/>
    </font>
    <font>
      <sz val="12"/>
      <name val="Calibri"/>
      <family val="2"/>
    </font>
    <font>
      <i/>
      <sz val="12"/>
      <name val="Calibri"/>
      <family val="2"/>
    </font>
    <font>
      <b/>
      <sz val="14"/>
      <color indexed="9"/>
      <name val="Calibri"/>
      <family val="2"/>
    </font>
    <font>
      <sz val="16"/>
      <color indexed="9"/>
      <name val="Calibri"/>
      <family val="2"/>
    </font>
    <font>
      <b/>
      <sz val="16"/>
      <color indexed="9"/>
      <name val="Calibri"/>
      <family val="2"/>
    </font>
    <font>
      <sz val="8"/>
      <name val="Calibri"/>
      <family val="2"/>
    </font>
    <font>
      <sz val="11"/>
      <color theme="0"/>
      <name val="Calibri"/>
      <family val="2"/>
      <scheme val="minor"/>
    </font>
    <font>
      <sz val="11"/>
      <color rgb="FFFF0000"/>
      <name val="Calibri"/>
      <family val="2"/>
      <scheme val="minor"/>
    </font>
    <font>
      <b/>
      <sz val="14"/>
      <color rgb="FF3D6864"/>
      <name val="Calibri"/>
      <family val="2"/>
      <scheme val="minor"/>
    </font>
    <font>
      <sz val="11"/>
      <name val="Calibri"/>
      <family val="2"/>
      <scheme val="minor"/>
    </font>
    <font>
      <sz val="11"/>
      <color rgb="FFFF0000"/>
      <name val="Calibri"/>
      <family val="2"/>
    </font>
    <font>
      <b/>
      <sz val="14"/>
      <color theme="0"/>
      <name val="Calibri"/>
      <family val="2"/>
      <scheme val="minor"/>
    </font>
    <font>
      <sz val="11"/>
      <color rgb="FF406564"/>
      <name val="Calibri"/>
      <family val="2"/>
      <scheme val="minor"/>
    </font>
    <font>
      <b/>
      <sz val="12"/>
      <color theme="0"/>
      <name val="Calibri"/>
      <family val="2"/>
    </font>
    <font>
      <b/>
      <sz val="16"/>
      <color theme="0"/>
      <name val="Calibri"/>
      <family val="2"/>
      <scheme val="minor"/>
    </font>
    <font>
      <b/>
      <sz val="11"/>
      <color theme="1"/>
      <name val="Calibri"/>
      <family val="2"/>
      <scheme val="minor"/>
    </font>
    <font>
      <i/>
      <sz val="11"/>
      <name val="Calibri"/>
      <family val="2"/>
    </font>
    <font>
      <vertAlign val="superscript"/>
      <sz val="11"/>
      <color indexed="9"/>
      <name val="Calibri"/>
      <family val="2"/>
    </font>
    <font>
      <sz val="11"/>
      <color theme="1"/>
      <name val="Calibri"/>
      <family val="2"/>
    </font>
    <font>
      <b/>
      <sz val="14"/>
      <color rgb="FF406564"/>
      <name val="Calibri"/>
      <family val="2"/>
      <scheme val="minor"/>
    </font>
    <font>
      <b/>
      <sz val="11"/>
      <name val="Calibri"/>
      <family val="2"/>
      <scheme val="minor"/>
    </font>
    <font>
      <i/>
      <sz val="11"/>
      <color theme="1" tint="0.499984740745262"/>
      <name val="Calibri"/>
      <family val="2"/>
      <scheme val="minor"/>
    </font>
    <font>
      <b/>
      <sz val="11"/>
      <color theme="0"/>
      <name val="Calibri"/>
      <family val="2"/>
    </font>
    <font>
      <i/>
      <sz val="11"/>
      <color indexed="9"/>
      <name val="Calibri"/>
      <family val="2"/>
    </font>
    <font>
      <b/>
      <sz val="11"/>
      <color rgb="FF406564"/>
      <name val="Calibri"/>
      <family val="2"/>
      <scheme val="minor"/>
    </font>
    <font>
      <i/>
      <sz val="11"/>
      <color theme="1"/>
      <name val="Calibri"/>
      <family val="2"/>
      <scheme val="minor"/>
    </font>
    <font>
      <i/>
      <sz val="11"/>
      <color rgb="FFFF0000"/>
      <name val="Calibri"/>
      <family val="2"/>
    </font>
    <font>
      <sz val="18"/>
      <color rgb="FF406564"/>
      <name val="Calibri"/>
      <family val="2"/>
      <scheme val="minor"/>
    </font>
    <font>
      <i/>
      <sz val="11"/>
      <color theme="1"/>
      <name val="Calibri"/>
      <family val="2"/>
    </font>
    <font>
      <b/>
      <sz val="11"/>
      <color rgb="FFFF0000"/>
      <name val="Calibri"/>
      <family val="2"/>
      <scheme val="minor"/>
    </font>
    <font>
      <b/>
      <sz val="12"/>
      <color rgb="FFFF0000"/>
      <name val="Calibri"/>
      <family val="2"/>
    </font>
    <font>
      <sz val="20"/>
      <color rgb="FFFF0000"/>
      <name val="Calibri"/>
      <family val="2"/>
      <scheme val="minor"/>
    </font>
    <font>
      <sz val="18"/>
      <color rgb="FFFF0000"/>
      <name val="Calibri"/>
      <family val="2"/>
      <scheme val="minor"/>
    </font>
    <font>
      <sz val="8"/>
      <color theme="1"/>
      <name val="Calibri"/>
      <family val="2"/>
      <scheme val="minor"/>
    </font>
    <font>
      <b/>
      <sz val="8"/>
      <color theme="1"/>
      <name val="Calibri"/>
      <family val="2"/>
      <scheme val="minor"/>
    </font>
    <font>
      <sz val="8"/>
      <name val="Calibri"/>
      <family val="2"/>
      <scheme val="minor"/>
    </font>
    <font>
      <sz val="10"/>
      <color rgb="FF006100"/>
      <name val="Calibri Light"/>
      <family val="2"/>
    </font>
    <font>
      <sz val="9"/>
      <color theme="1"/>
      <name val="Calibri"/>
      <family val="2"/>
      <scheme val="minor"/>
    </font>
    <font>
      <b/>
      <sz val="9"/>
      <color theme="1"/>
      <name val="Calibri"/>
      <family val="2"/>
      <scheme val="minor"/>
    </font>
    <font>
      <sz val="18"/>
      <color theme="1"/>
      <name val="Calibri"/>
      <family val="2"/>
      <scheme val="minor"/>
    </font>
    <font>
      <sz val="14"/>
      <color theme="1"/>
      <name val="Calibri"/>
      <family val="2"/>
      <scheme val="minor"/>
    </font>
    <font>
      <sz val="11"/>
      <color theme="1"/>
      <name val="Calibri"/>
      <family val="2"/>
      <scheme val="minor"/>
    </font>
    <font>
      <b/>
      <sz val="14"/>
      <color indexed="9"/>
      <name val="Calibri"/>
      <family val="2"/>
    </font>
    <font>
      <sz val="11"/>
      <color indexed="9"/>
      <name val="Calibri"/>
      <family val="2"/>
    </font>
    <font>
      <b/>
      <sz val="11"/>
      <color indexed="10"/>
      <name val="Calibri"/>
      <family val="2"/>
    </font>
    <font>
      <b/>
      <sz val="11"/>
      <color rgb="FFFF0000"/>
      <name val="Calibri"/>
      <family val="2"/>
      <scheme val="minor"/>
    </font>
    <font>
      <b/>
      <sz val="14"/>
      <color rgb="FF3D6864"/>
      <name val="Calibri"/>
      <family val="2"/>
      <scheme val="minor"/>
    </font>
    <font>
      <b/>
      <sz val="12"/>
      <color indexed="8"/>
      <name val="Calibri"/>
      <family val="2"/>
    </font>
    <font>
      <sz val="12"/>
      <color indexed="8"/>
      <name val="Calibri"/>
      <family val="2"/>
    </font>
    <font>
      <b/>
      <sz val="12"/>
      <color indexed="9"/>
      <name val="Calibri"/>
      <family val="2"/>
    </font>
    <font>
      <sz val="12"/>
      <color indexed="9"/>
      <name val="Calibri"/>
      <family val="2"/>
    </font>
    <font>
      <sz val="12"/>
      <color rgb="FF3D6864"/>
      <name val="Calibri"/>
      <family val="2"/>
    </font>
    <font>
      <sz val="11"/>
      <color rgb="FF3D6864"/>
      <name val="Calibri"/>
      <family val="2"/>
      <scheme val="minor"/>
    </font>
    <font>
      <sz val="12"/>
      <color theme="1"/>
      <name val="Calibri"/>
      <family val="2"/>
      <scheme val="minor"/>
    </font>
    <font>
      <sz val="12"/>
      <name val="Calibri"/>
      <family val="2"/>
    </font>
    <font>
      <b/>
      <sz val="12"/>
      <color rgb="FF3D6864"/>
      <name val="Calibri"/>
      <family val="2"/>
    </font>
    <font>
      <sz val="12"/>
      <color rgb="FF406564"/>
      <name val="Calibri"/>
      <family val="2"/>
    </font>
    <font>
      <sz val="11"/>
      <name val="Calibri"/>
      <family val="2"/>
      <scheme val="minor"/>
    </font>
    <font>
      <sz val="11"/>
      <color indexed="57"/>
      <name val="Calibri"/>
      <family val="2"/>
    </font>
    <font>
      <sz val="11"/>
      <color theme="1"/>
      <name val="Calibri"/>
      <family val="2"/>
    </font>
    <font>
      <sz val="12"/>
      <color theme="1"/>
      <name val="Calibri"/>
      <family val="2"/>
    </font>
    <font>
      <sz val="9"/>
      <color indexed="8"/>
      <name val="Calibri"/>
      <family val="2"/>
    </font>
    <font>
      <sz val="9"/>
      <color theme="1"/>
      <name val="Calibri"/>
      <family val="2"/>
    </font>
    <font>
      <sz val="8"/>
      <color indexed="8"/>
      <name val="Calibri"/>
      <family val="2"/>
    </font>
    <font>
      <sz val="11"/>
      <color rgb="FFFF0000"/>
      <name val="Calibri"/>
      <family val="2"/>
    </font>
    <font>
      <b/>
      <sz val="14"/>
      <color theme="0"/>
      <name val="Calibri"/>
      <family val="2"/>
    </font>
    <font>
      <sz val="9"/>
      <color indexed="81"/>
      <name val="Tahoma"/>
      <family val="2"/>
    </font>
    <font>
      <sz val="11"/>
      <color theme="1"/>
      <name val="Calibri"/>
      <family val="2"/>
      <scheme val="minor"/>
    </font>
    <font>
      <b/>
      <sz val="16"/>
      <color theme="0"/>
      <name val="Calibri"/>
      <family val="2"/>
      <scheme val="minor"/>
    </font>
    <font>
      <sz val="11"/>
      <name val="Calibri"/>
      <family val="2"/>
    </font>
    <font>
      <b/>
      <sz val="11"/>
      <color rgb="FFFF0000"/>
      <name val="Calibri"/>
      <family val="2"/>
      <scheme val="minor"/>
    </font>
    <font>
      <b/>
      <sz val="11"/>
      <color theme="1"/>
      <name val="Calibri"/>
      <family val="2"/>
      <scheme val="minor"/>
    </font>
    <font>
      <b/>
      <sz val="16"/>
      <color theme="0"/>
      <name val="Calibri"/>
      <family val="2"/>
    </font>
    <font>
      <b/>
      <sz val="11"/>
      <color theme="0"/>
      <name val="Calibri"/>
      <family val="2"/>
      <scheme val="minor"/>
    </font>
    <font>
      <sz val="18"/>
      <color theme="0"/>
      <name val="Calibri"/>
      <family val="2"/>
      <scheme val="minor"/>
    </font>
    <font>
      <sz val="9"/>
      <name val="Calibri"/>
      <family val="2"/>
      <scheme val="minor"/>
    </font>
    <font>
      <sz val="12"/>
      <color rgb="FFFF0000"/>
      <name val="Calibri"/>
      <family val="2"/>
    </font>
    <font>
      <sz val="11"/>
      <color rgb="FF00B050"/>
      <name val="Calibri"/>
      <family val="2"/>
      <scheme val="minor"/>
    </font>
    <font>
      <sz val="11"/>
      <color rgb="FFFFFFFF"/>
      <name val="Calibri"/>
      <family val="2"/>
    </font>
    <font>
      <sz val="14"/>
      <color theme="0"/>
      <name val="Calibri"/>
      <family val="2"/>
      <scheme val="minor"/>
    </font>
    <font>
      <sz val="8"/>
      <color theme="0" tint="-0.34998626667073579"/>
      <name val="Calibri"/>
      <family val="2"/>
      <scheme val="minor"/>
    </font>
    <font>
      <b/>
      <sz val="8"/>
      <color theme="0" tint="-0.34998626667073579"/>
      <name val="Calibri"/>
      <family val="2"/>
      <scheme val="minor"/>
    </font>
    <font>
      <sz val="10"/>
      <color theme="0" tint="-0.34998626667073579"/>
      <name val="Calibri Light"/>
      <family val="2"/>
    </font>
    <font>
      <b/>
      <sz val="10"/>
      <color rgb="FF006100"/>
      <name val="Calibri Light"/>
      <family val="2"/>
    </font>
    <font>
      <b/>
      <sz val="10"/>
      <color rgb="FFFF0000"/>
      <name val="Calibri Light"/>
      <family val="2"/>
    </font>
    <font>
      <b/>
      <sz val="8"/>
      <name val="Calibri"/>
      <family val="2"/>
      <scheme val="minor"/>
    </font>
    <font>
      <sz val="11"/>
      <color theme="0" tint="-0.14999847407452621"/>
      <name val="Calibri"/>
      <family val="2"/>
      <scheme val="minor"/>
    </font>
    <font>
      <b/>
      <sz val="11"/>
      <color theme="0" tint="-0.14999847407452621"/>
      <name val="Calibri"/>
      <family val="2"/>
      <scheme val="minor"/>
    </font>
    <font>
      <b/>
      <sz val="9"/>
      <color indexed="81"/>
      <name val="Tahoma"/>
      <family val="2"/>
    </font>
    <font>
      <b/>
      <sz val="11"/>
      <color rgb="FFFFFFFF"/>
      <name val="Calibri"/>
      <family val="2"/>
    </font>
    <font>
      <b/>
      <sz val="14"/>
      <color rgb="FFFF0000"/>
      <name val="Calibri"/>
      <family val="2"/>
    </font>
    <font>
      <sz val="9"/>
      <color rgb="FF00B050"/>
      <name val="Calibri"/>
      <family val="2"/>
      <scheme val="minor"/>
    </font>
    <font>
      <b/>
      <sz val="9"/>
      <color rgb="FF00B050"/>
      <name val="Calibri"/>
      <family val="2"/>
      <scheme val="minor"/>
    </font>
    <font>
      <sz val="11"/>
      <color rgb="FF56B146"/>
      <name val="Calibri"/>
      <family val="2"/>
      <scheme val="minor"/>
    </font>
    <font>
      <b/>
      <sz val="11"/>
      <color rgb="FF000000"/>
      <name val="Calibri"/>
      <family val="2"/>
    </font>
    <font>
      <sz val="11"/>
      <color rgb="FF000000"/>
      <name val="Calibri"/>
      <family val="2"/>
    </font>
    <font>
      <i/>
      <sz val="11"/>
      <color rgb="FF000000"/>
      <name val="Calibri"/>
      <family val="2"/>
    </font>
    <font>
      <b/>
      <u/>
      <sz val="11"/>
      <color theme="1"/>
      <name val="Calibri"/>
      <family val="2"/>
    </font>
    <font>
      <sz val="11"/>
      <color theme="1"/>
      <name val="Symbol"/>
      <family val="1"/>
      <charset val="2"/>
    </font>
    <font>
      <sz val="7"/>
      <color theme="1"/>
      <name val="Times New Roman"/>
      <family val="1"/>
    </font>
    <font>
      <sz val="11"/>
      <color rgb="FF242424"/>
      <name val="Calibri"/>
      <family val="2"/>
      <scheme val="minor"/>
    </font>
    <font>
      <b/>
      <sz val="11"/>
      <color rgb="FF242424"/>
      <name val="Calibri"/>
      <family val="2"/>
      <scheme val="minor"/>
    </font>
    <font>
      <sz val="11"/>
      <color theme="1"/>
      <name val="Courier New"/>
      <family val="3"/>
    </font>
  </fonts>
  <fills count="28">
    <fill>
      <patternFill patternType="none"/>
    </fill>
    <fill>
      <patternFill patternType="gray125"/>
    </fill>
    <fill>
      <patternFill patternType="solid">
        <fgColor indexed="9"/>
        <bgColor indexed="64"/>
      </patternFill>
    </fill>
    <fill>
      <patternFill patternType="solid">
        <fgColor rgb="FF3D6864"/>
        <bgColor indexed="64"/>
      </patternFill>
    </fill>
    <fill>
      <patternFill patternType="solid">
        <fgColor theme="0"/>
        <bgColor indexed="64"/>
      </patternFill>
    </fill>
    <fill>
      <patternFill patternType="solid">
        <fgColor theme="0" tint="-0.14999847407452621"/>
        <bgColor indexed="64"/>
      </patternFill>
    </fill>
    <fill>
      <patternFill patternType="solid">
        <fgColor rgb="FF406564"/>
        <bgColor indexed="64"/>
      </patternFill>
    </fill>
    <fill>
      <patternFill patternType="solid">
        <fgColor rgb="FFFFC000"/>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56B146"/>
        <bgColor indexed="64"/>
      </patternFill>
    </fill>
    <fill>
      <patternFill patternType="solid">
        <fgColor rgb="FFFFD146"/>
        <bgColor indexed="64"/>
      </patternFill>
    </fill>
    <fill>
      <patternFill patternType="solid">
        <fgColor rgb="FFF16161"/>
        <bgColor indexed="64"/>
      </patternFill>
    </fill>
    <fill>
      <patternFill patternType="solid">
        <fgColor rgb="FFC6EFCE"/>
      </patternFill>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theme="7"/>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0.249977111117893"/>
        <bgColor indexed="64"/>
      </patternFill>
    </fill>
  </fills>
  <borders count="1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medium">
        <color rgb="FF3D6864"/>
      </right>
      <top/>
      <bottom/>
      <diagonal/>
    </border>
    <border>
      <left style="thin">
        <color indexed="64"/>
      </left>
      <right style="medium">
        <color rgb="FF3D6864"/>
      </right>
      <top style="thin">
        <color indexed="64"/>
      </top>
      <bottom style="thin">
        <color indexed="64"/>
      </bottom>
      <diagonal/>
    </border>
    <border>
      <left style="thin">
        <color theme="0"/>
      </left>
      <right style="medium">
        <color rgb="FF3D6864"/>
      </right>
      <top style="thin">
        <color theme="0"/>
      </top>
      <bottom style="thin">
        <color theme="0"/>
      </bottom>
      <diagonal/>
    </border>
    <border>
      <left style="thin">
        <color theme="0"/>
      </left>
      <right style="medium">
        <color rgb="FF3D6864"/>
      </right>
      <top/>
      <bottom style="thin">
        <color theme="0"/>
      </bottom>
      <diagonal/>
    </border>
    <border>
      <left/>
      <right style="medium">
        <color rgb="FF3D6864"/>
      </right>
      <top/>
      <bottom style="thin">
        <color theme="0"/>
      </bottom>
      <diagonal/>
    </border>
    <border>
      <left style="medium">
        <color rgb="FF3D6864"/>
      </left>
      <right/>
      <top/>
      <bottom/>
      <diagonal/>
    </border>
    <border>
      <left/>
      <right style="medium">
        <color rgb="FF3D6864"/>
      </right>
      <top/>
      <bottom style="thin">
        <color indexed="64"/>
      </bottom>
      <diagonal/>
    </border>
    <border>
      <left style="medium">
        <color rgb="FF3D6864"/>
      </left>
      <right style="thin">
        <color theme="0"/>
      </right>
      <top/>
      <bottom style="thin">
        <color theme="0"/>
      </bottom>
      <diagonal/>
    </border>
    <border>
      <left style="medium">
        <color rgb="FF3D6864"/>
      </left>
      <right style="thin">
        <color indexed="64"/>
      </right>
      <top style="thin">
        <color indexed="64"/>
      </top>
      <bottom style="thin">
        <color indexed="64"/>
      </bottom>
      <diagonal/>
    </border>
    <border>
      <left style="medium">
        <color rgb="FF3D6864"/>
      </left>
      <right style="thin">
        <color theme="0"/>
      </right>
      <top style="thin">
        <color theme="0"/>
      </top>
      <bottom style="thin">
        <color theme="0"/>
      </bottom>
      <diagonal/>
    </border>
    <border>
      <left/>
      <right/>
      <top/>
      <bottom style="thin">
        <color theme="0"/>
      </bottom>
      <diagonal/>
    </border>
    <border>
      <left style="medium">
        <color rgb="FF3D6864"/>
      </left>
      <right/>
      <top/>
      <bottom style="thin">
        <color theme="0"/>
      </bottom>
      <diagonal/>
    </border>
    <border>
      <left style="medium">
        <color rgb="FF3D6864"/>
      </left>
      <right/>
      <top style="thin">
        <color theme="0"/>
      </top>
      <bottom style="thin">
        <color theme="0"/>
      </bottom>
      <diagonal/>
    </border>
    <border>
      <left style="medium">
        <color rgb="FF3D6864"/>
      </left>
      <right style="medium">
        <color rgb="FF3D6864"/>
      </right>
      <top/>
      <bottom style="thin">
        <color indexed="64"/>
      </bottom>
      <diagonal/>
    </border>
    <border>
      <left style="medium">
        <color rgb="FF3D6864"/>
      </left>
      <right style="medium">
        <color rgb="FF3D6864"/>
      </right>
      <top/>
      <bottom style="thin">
        <color theme="0"/>
      </bottom>
      <diagonal/>
    </border>
    <border>
      <left style="medium">
        <color rgb="FF3D6864"/>
      </left>
      <right style="medium">
        <color rgb="FF3D6864"/>
      </right>
      <top style="thin">
        <color indexed="64"/>
      </top>
      <bottom style="thin">
        <color indexed="64"/>
      </bottom>
      <diagonal/>
    </border>
    <border>
      <left style="medium">
        <color rgb="FF3D68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theme="0"/>
      </left>
      <right style="thin">
        <color theme="0"/>
      </right>
      <top style="thin">
        <color theme="0"/>
      </top>
      <bottom style="medium">
        <color rgb="FF3D6864"/>
      </bottom>
      <diagonal/>
    </border>
    <border>
      <left style="thin">
        <color theme="0"/>
      </left>
      <right style="medium">
        <color rgb="FF3D6864"/>
      </right>
      <top style="thin">
        <color theme="0"/>
      </top>
      <bottom style="medium">
        <color rgb="FF3D6864"/>
      </bottom>
      <diagonal/>
    </border>
    <border>
      <left/>
      <right style="thin">
        <color theme="0"/>
      </right>
      <top style="thin">
        <color theme="0"/>
      </top>
      <bottom style="medium">
        <color rgb="FF3D6864"/>
      </bottom>
      <diagonal/>
    </border>
    <border>
      <left style="thin">
        <color theme="0"/>
      </left>
      <right/>
      <top style="thin">
        <color theme="0"/>
      </top>
      <bottom style="medium">
        <color rgb="FF3D6864"/>
      </bottom>
      <diagonal/>
    </border>
    <border>
      <left/>
      <right style="medium">
        <color rgb="FF3D6864"/>
      </right>
      <top style="thin">
        <color theme="0"/>
      </top>
      <bottom style="medium">
        <color rgb="FF3D6864"/>
      </bottom>
      <diagonal/>
    </border>
    <border>
      <left/>
      <right/>
      <top style="thin">
        <color theme="0"/>
      </top>
      <bottom style="medium">
        <color rgb="FF3D6864"/>
      </bottom>
      <diagonal/>
    </border>
    <border>
      <left/>
      <right/>
      <top style="thin">
        <color indexed="64"/>
      </top>
      <bottom style="medium">
        <color rgb="FF3D6864"/>
      </bottom>
      <diagonal/>
    </border>
    <border>
      <left/>
      <right style="medium">
        <color rgb="FF3D6864"/>
      </right>
      <top style="thin">
        <color indexed="64"/>
      </top>
      <bottom style="medium">
        <color rgb="FF3D6864"/>
      </bottom>
      <diagonal/>
    </border>
    <border>
      <left style="medium">
        <color rgb="FF3D6864"/>
      </left>
      <right style="thin">
        <color rgb="FF3D6864"/>
      </right>
      <top/>
      <bottom/>
      <diagonal/>
    </border>
    <border>
      <left style="thin">
        <color rgb="FF3D6864"/>
      </left>
      <right style="thin">
        <color rgb="FF3D6864"/>
      </right>
      <top/>
      <bottom/>
      <diagonal/>
    </border>
    <border>
      <left/>
      <right style="thin">
        <color theme="0"/>
      </right>
      <top/>
      <bottom/>
      <diagonal/>
    </border>
    <border>
      <left/>
      <right style="thin">
        <color indexed="64"/>
      </right>
      <top style="thin">
        <color indexed="64"/>
      </top>
      <bottom style="medium">
        <color indexed="64"/>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top style="medium">
        <color indexed="64"/>
      </top>
      <bottom style="thin">
        <color indexed="64"/>
      </bottom>
      <diagonal/>
    </border>
    <border>
      <left/>
      <right style="thin">
        <color indexed="64"/>
      </right>
      <top style="thin">
        <color indexed="64"/>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theme="0"/>
      </bottom>
      <diagonal/>
    </border>
    <border>
      <left style="thin">
        <color rgb="FF3D6864"/>
      </left>
      <right style="thin">
        <color rgb="FF3D6864"/>
      </right>
      <top/>
      <bottom style="thin">
        <color indexed="64"/>
      </bottom>
      <diagonal/>
    </border>
    <border>
      <left style="thin">
        <color rgb="FF3D6864"/>
      </left>
      <right style="medium">
        <color rgb="FF3D6864"/>
      </right>
      <top/>
      <bottom/>
      <diagonal/>
    </border>
    <border>
      <left style="thin">
        <color theme="0"/>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style="medium">
        <color rgb="FF3D68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style="thin">
        <color rgb="FF3D6864"/>
      </right>
      <top/>
      <bottom/>
      <diagonal/>
    </border>
    <border>
      <left style="thin">
        <color rgb="FF3D6864"/>
      </left>
      <right style="thin">
        <color indexed="64"/>
      </right>
      <top/>
      <bottom/>
      <diagonal/>
    </border>
    <border>
      <left style="thin">
        <color rgb="FF3D6864"/>
      </left>
      <right/>
      <top/>
      <bottom/>
      <diagonal/>
    </border>
    <border>
      <left style="thin">
        <color theme="0"/>
      </left>
      <right/>
      <top style="thin">
        <color theme="0" tint="-0.14996795556505021"/>
      </top>
      <bottom style="thin">
        <color indexed="64"/>
      </bottom>
      <diagonal/>
    </border>
    <border>
      <left style="medium">
        <color rgb="FF3D6864"/>
      </left>
      <right/>
      <top style="thin">
        <color indexed="64"/>
      </top>
      <bottom style="medium">
        <color rgb="FF3D68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medium">
        <color rgb="FF3D6864"/>
      </left>
      <right style="medium">
        <color rgb="FF3D6864"/>
      </right>
      <top/>
      <bottom/>
      <diagonal/>
    </border>
    <border>
      <left style="medium">
        <color rgb="FF3D6864"/>
      </left>
      <right style="medium">
        <color rgb="FF3D6864"/>
      </right>
      <top style="thin">
        <color indexed="64"/>
      </top>
      <bottom style="medium">
        <color rgb="FF3D6864"/>
      </bottom>
      <diagonal/>
    </border>
    <border>
      <left style="medium">
        <color rgb="FF3D6864"/>
      </left>
      <right style="medium">
        <color rgb="FF3D6864"/>
      </right>
      <top style="thin">
        <color indexed="64"/>
      </top>
      <bottom/>
      <diagonal/>
    </border>
    <border>
      <left style="thin">
        <color theme="0"/>
      </left>
      <right style="thin">
        <color theme="0"/>
      </right>
      <top style="thin">
        <color theme="0"/>
      </top>
      <bottom/>
      <diagonal/>
    </border>
    <border>
      <left style="thin">
        <color theme="0"/>
      </left>
      <right style="medium">
        <color rgb="FF3D6864"/>
      </right>
      <top style="thin">
        <color theme="0"/>
      </top>
      <bottom/>
      <diagonal/>
    </border>
    <border>
      <left style="thin">
        <color indexed="64"/>
      </left>
      <right style="medium">
        <color rgb="FF3D6864"/>
      </right>
      <top style="thin">
        <color theme="0"/>
      </top>
      <bottom style="thin">
        <color indexed="64"/>
      </bottom>
      <diagonal/>
    </border>
    <border>
      <left style="medium">
        <color rgb="FF3D6864"/>
      </left>
      <right style="thin">
        <color theme="0"/>
      </right>
      <top style="thin">
        <color indexed="64"/>
      </top>
      <bottom style="thin">
        <color indexed="64"/>
      </bottom>
      <diagonal/>
    </border>
    <border>
      <left style="medium">
        <color rgb="FF3D6864"/>
      </left>
      <right style="thin">
        <color theme="0"/>
      </right>
      <top style="thin">
        <color theme="0"/>
      </top>
      <bottom style="thin">
        <color indexed="64"/>
      </bottom>
      <diagonal/>
    </border>
    <border>
      <left style="medium">
        <color rgb="FF3D6864"/>
      </left>
      <right style="thin">
        <color rgb="FF3D6864"/>
      </right>
      <top style="thin">
        <color theme="0"/>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bottom/>
      <diagonal/>
    </border>
    <border>
      <left style="thin">
        <color indexed="64"/>
      </left>
      <right/>
      <top style="medium">
        <color indexed="64"/>
      </top>
      <bottom/>
      <diagonal/>
    </border>
    <border>
      <left/>
      <right style="thin">
        <color theme="0"/>
      </right>
      <top style="thin">
        <color indexed="64"/>
      </top>
      <bottom style="thin">
        <color theme="0"/>
      </bottom>
      <diagonal/>
    </border>
    <border>
      <left/>
      <right/>
      <top/>
      <bottom style="thin">
        <color theme="0" tint="-0.249977111117893"/>
      </bottom>
      <diagonal/>
    </border>
    <border>
      <left style="medium">
        <color indexed="64"/>
      </left>
      <right style="medium">
        <color indexed="64"/>
      </right>
      <top style="thin">
        <color indexed="64"/>
      </top>
      <bottom/>
      <diagonal/>
    </border>
    <border>
      <left style="thin">
        <color indexed="64"/>
      </left>
      <right style="medium">
        <color rgb="FF3D6864"/>
      </right>
      <top/>
      <bottom style="thin">
        <color indexed="64"/>
      </bottom>
      <diagonal/>
    </border>
    <border>
      <left/>
      <right style="thin">
        <color theme="1"/>
      </right>
      <top style="thin">
        <color indexed="64"/>
      </top>
      <bottom style="thin">
        <color theme="0"/>
      </bottom>
      <diagonal/>
    </border>
    <border>
      <left/>
      <right style="thin">
        <color theme="1"/>
      </right>
      <top style="thin">
        <color theme="0"/>
      </top>
      <bottom style="thin">
        <color theme="0"/>
      </bottom>
      <diagonal/>
    </border>
    <border>
      <left/>
      <right/>
      <top style="thin">
        <color theme="0"/>
      </top>
      <bottom/>
      <diagonal/>
    </border>
    <border>
      <left/>
      <right style="thin">
        <color indexed="64"/>
      </right>
      <top style="thin">
        <color theme="0"/>
      </top>
      <bottom/>
      <diagonal/>
    </border>
    <border>
      <left/>
      <right style="thin">
        <color theme="0"/>
      </right>
      <top style="thin">
        <color theme="0"/>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rgb="FF3D6864"/>
      </left>
      <right/>
      <top style="thin">
        <color indexed="64"/>
      </top>
      <bottom style="thin">
        <color indexed="64"/>
      </bottom>
      <diagonal/>
    </border>
  </borders>
  <cellStyleXfs count="5">
    <xf numFmtId="0" fontId="0" fillId="0" borderId="0"/>
    <xf numFmtId="0" fontId="2" fillId="0" borderId="0"/>
    <xf numFmtId="9" fontId="6" fillId="0" borderId="0" applyFont="0" applyFill="0" applyBorder="0" applyAlignment="0" applyProtection="0"/>
    <xf numFmtId="0" fontId="53" fillId="17" borderId="0" applyNumberFormat="0" applyBorder="0" applyAlignment="0" applyProtection="0"/>
    <xf numFmtId="9" fontId="1" fillId="0" borderId="0" applyFont="0" applyFill="0" applyBorder="0" applyAlignment="0" applyProtection="0"/>
  </cellStyleXfs>
  <cellXfs count="1413">
    <xf numFmtId="0" fontId="0" fillId="0" borderId="0" xfId="0"/>
    <xf numFmtId="0" fontId="0" fillId="2" borderId="0" xfId="0" applyFill="1" applyProtection="1">
      <protection hidden="1"/>
    </xf>
    <xf numFmtId="0" fontId="0" fillId="2" borderId="0" xfId="0" applyFont="1" applyFill="1" applyProtection="1">
      <protection hidden="1"/>
    </xf>
    <xf numFmtId="0" fontId="0" fillId="2" borderId="0" xfId="0" applyFill="1" applyBorder="1" applyProtection="1">
      <protection hidden="1"/>
    </xf>
    <xf numFmtId="0" fontId="9" fillId="2" borderId="0" xfId="0" applyFont="1" applyFill="1" applyProtection="1">
      <protection hidden="1"/>
    </xf>
    <xf numFmtId="0" fontId="11" fillId="2" borderId="0" xfId="0" applyFont="1" applyFill="1" applyProtection="1">
      <protection hidden="1"/>
    </xf>
    <xf numFmtId="0" fontId="12" fillId="2" borderId="0" xfId="0" applyFont="1" applyFill="1" applyAlignment="1" applyProtection="1">
      <alignment horizontal="center" wrapText="1"/>
      <protection hidden="1"/>
    </xf>
    <xf numFmtId="0" fontId="0" fillId="2" borderId="1" xfId="0" applyFill="1" applyBorder="1" applyProtection="1">
      <protection hidden="1"/>
    </xf>
    <xf numFmtId="0" fontId="0" fillId="2" borderId="0" xfId="0" applyFill="1" applyAlignment="1" applyProtection="1">
      <alignment wrapText="1"/>
      <protection hidden="1"/>
    </xf>
    <xf numFmtId="0" fontId="9" fillId="2" borderId="0" xfId="0" applyFont="1" applyFill="1" applyAlignment="1" applyProtection="1">
      <alignment vertical="top" wrapText="1"/>
      <protection hidden="1"/>
    </xf>
    <xf numFmtId="0" fontId="0" fillId="2" borderId="0" xfId="0" applyFont="1" applyFill="1" applyAlignment="1" applyProtection="1">
      <alignment horizontal="left" vertical="top" wrapText="1"/>
      <protection hidden="1"/>
    </xf>
    <xf numFmtId="0" fontId="10" fillId="2" borderId="0" xfId="0" applyFont="1" applyFill="1" applyAlignment="1" applyProtection="1">
      <alignment horizontal="left" vertical="top" wrapText="1"/>
      <protection hidden="1"/>
    </xf>
    <xf numFmtId="0" fontId="18" fillId="2" borderId="0" xfId="0" applyFont="1" applyFill="1" applyProtection="1">
      <protection hidden="1"/>
    </xf>
    <xf numFmtId="0" fontId="18" fillId="2" borderId="0" xfId="0" applyFont="1" applyFill="1" applyAlignment="1" applyProtection="1">
      <alignment vertical="top" wrapText="1"/>
      <protection hidden="1"/>
    </xf>
    <xf numFmtId="0" fontId="18" fillId="2" borderId="0" xfId="0" applyFont="1" applyFill="1" applyAlignment="1" applyProtection="1">
      <alignment horizontal="left" vertical="top" wrapText="1"/>
      <protection hidden="1"/>
    </xf>
    <xf numFmtId="0" fontId="17" fillId="2" borderId="0" xfId="0" applyFont="1" applyFill="1" applyProtection="1">
      <protection hidden="1"/>
    </xf>
    <xf numFmtId="0" fontId="0" fillId="0" borderId="0" xfId="0" applyFill="1" applyBorder="1" applyProtection="1">
      <protection hidden="1"/>
    </xf>
    <xf numFmtId="0" fontId="0" fillId="0" borderId="0" xfId="0" applyFill="1" applyProtection="1">
      <protection hidden="1"/>
    </xf>
    <xf numFmtId="0" fontId="0" fillId="4" borderId="0" xfId="0" applyFill="1" applyProtection="1">
      <protection hidden="1"/>
    </xf>
    <xf numFmtId="0" fontId="24" fillId="2" borderId="0" xfId="0" applyFont="1" applyFill="1" applyProtection="1">
      <protection hidden="1"/>
    </xf>
    <xf numFmtId="0" fontId="1" fillId="4" borderId="0" xfId="0" applyFont="1" applyFill="1" applyProtection="1">
      <protection hidden="1"/>
    </xf>
    <xf numFmtId="0" fontId="11" fillId="2" borderId="0" xfId="0" applyFont="1" applyFill="1" applyAlignment="1" applyProtection="1">
      <alignment vertical="top" wrapText="1"/>
      <protection hidden="1"/>
    </xf>
    <xf numFmtId="0" fontId="4" fillId="2" borderId="0" xfId="0" applyFont="1" applyFill="1" applyAlignment="1" applyProtection="1">
      <alignment vertical="top" wrapText="1"/>
      <protection hidden="1"/>
    </xf>
    <xf numFmtId="0" fontId="0" fillId="4" borderId="0" xfId="0" applyFill="1"/>
    <xf numFmtId="0" fontId="9" fillId="8" borderId="2" xfId="0" applyFont="1" applyFill="1" applyBorder="1" applyProtection="1">
      <protection hidden="1"/>
    </xf>
    <xf numFmtId="0" fontId="17" fillId="2" borderId="0" xfId="0" applyFont="1" applyFill="1" applyAlignment="1" applyProtection="1">
      <alignment horizontal="left" vertical="top" wrapText="1"/>
      <protection hidden="1"/>
    </xf>
    <xf numFmtId="0" fontId="23" fillId="4" borderId="0" xfId="0" applyFont="1" applyFill="1" applyAlignment="1" applyProtection="1">
      <alignment horizontal="right"/>
      <protection hidden="1"/>
    </xf>
    <xf numFmtId="0" fontId="0" fillId="2" borderId="0" xfId="0" applyFill="1" applyBorder="1" applyAlignment="1" applyProtection="1">
      <alignment horizontal="left" vertical="top" wrapText="1"/>
      <protection hidden="1"/>
    </xf>
    <xf numFmtId="0" fontId="17" fillId="2" borderId="0" xfId="0" applyFont="1" applyFill="1" applyAlignment="1" applyProtection="1">
      <alignment vertical="top" wrapText="1"/>
      <protection hidden="1"/>
    </xf>
    <xf numFmtId="0" fontId="17" fillId="0" borderId="0" xfId="0" applyFont="1" applyFill="1" applyAlignment="1" applyProtection="1">
      <alignment vertical="top" wrapText="1"/>
      <protection hidden="1"/>
    </xf>
    <xf numFmtId="0" fontId="0" fillId="0" borderId="0" xfId="0"/>
    <xf numFmtId="0" fontId="23" fillId="4" borderId="0" xfId="0" applyFont="1" applyFill="1" applyAlignment="1" applyProtection="1">
      <alignment horizontal="left"/>
      <protection hidden="1"/>
    </xf>
    <xf numFmtId="0" fontId="0" fillId="4" borderId="0" xfId="0" applyFill="1" applyAlignment="1" applyProtection="1">
      <alignment horizontal="left"/>
      <protection hidden="1"/>
    </xf>
    <xf numFmtId="0" fontId="17" fillId="4" borderId="0" xfId="0" applyFont="1" applyFill="1" applyBorder="1" applyAlignment="1" applyProtection="1">
      <alignment vertical="top" wrapText="1"/>
      <protection hidden="1"/>
    </xf>
    <xf numFmtId="0" fontId="16" fillId="4" borderId="0" xfId="0" applyFont="1" applyFill="1" applyBorder="1" applyAlignment="1" applyProtection="1">
      <alignment horizontal="right" vertical="center"/>
      <protection hidden="1"/>
    </xf>
    <xf numFmtId="0" fontId="11" fillId="4" borderId="0" xfId="0" applyFont="1" applyFill="1" applyAlignment="1" applyProtection="1">
      <alignment vertical="top" wrapText="1"/>
      <protection hidden="1"/>
    </xf>
    <xf numFmtId="0" fontId="0" fillId="4" borderId="0" xfId="0" applyFont="1" applyFill="1" applyAlignment="1" applyProtection="1">
      <alignment horizontal="left" vertical="top" wrapText="1"/>
      <protection hidden="1"/>
    </xf>
    <xf numFmtId="0" fontId="0" fillId="4" borderId="0" xfId="0" applyFont="1" applyFill="1" applyProtection="1">
      <protection hidden="1"/>
    </xf>
    <xf numFmtId="0" fontId="9" fillId="4" borderId="0" xfId="0" applyFont="1" applyFill="1" applyBorder="1" applyAlignment="1" applyProtection="1">
      <alignment horizontal="left" vertical="center" wrapText="1"/>
      <protection hidden="1"/>
    </xf>
    <xf numFmtId="0" fontId="33" fillId="2" borderId="0" xfId="0" applyFont="1" applyFill="1" applyProtection="1">
      <protection hidden="1"/>
    </xf>
    <xf numFmtId="0" fontId="0" fillId="2" borderId="0" xfId="0" applyFont="1" applyFill="1" applyAlignment="1" applyProtection="1">
      <alignment vertical="top"/>
      <protection hidden="1"/>
    </xf>
    <xf numFmtId="0" fontId="33" fillId="2" borderId="0" xfId="0" applyFont="1" applyFill="1" applyAlignment="1" applyProtection="1">
      <alignment vertical="top" wrapText="1"/>
      <protection hidden="1"/>
    </xf>
    <xf numFmtId="0" fontId="23" fillId="6" borderId="34" xfId="0" applyFont="1" applyFill="1" applyBorder="1" applyProtection="1">
      <protection hidden="1"/>
    </xf>
    <xf numFmtId="0" fontId="26" fillId="4" borderId="7" xfId="0" applyFont="1" applyFill="1" applyBorder="1" applyAlignment="1" applyProtection="1">
      <alignment horizontal="center" vertical="center"/>
      <protection locked="0"/>
    </xf>
    <xf numFmtId="0" fontId="0" fillId="5" borderId="0" xfId="0" applyFill="1" applyBorder="1" applyAlignment="1" applyProtection="1">
      <alignment horizontal="center" vertical="center"/>
      <protection hidden="1"/>
    </xf>
    <xf numFmtId="0" fontId="0" fillId="2" borderId="0" xfId="0" applyFill="1" applyBorder="1" applyAlignment="1" applyProtection="1">
      <alignment horizontal="left"/>
      <protection hidden="1"/>
    </xf>
    <xf numFmtId="0" fontId="0" fillId="8" borderId="0" xfId="0" applyFont="1" applyFill="1" applyProtection="1">
      <protection hidden="1"/>
    </xf>
    <xf numFmtId="0" fontId="7" fillId="3" borderId="27" xfId="0" applyFont="1" applyFill="1" applyBorder="1" applyAlignment="1" applyProtection="1">
      <alignment horizontal="right" vertical="center"/>
      <protection hidden="1"/>
    </xf>
    <xf numFmtId="0" fontId="7" fillId="3" borderId="27" xfId="0" applyFont="1" applyFill="1" applyBorder="1" applyAlignment="1" applyProtection="1">
      <alignment horizontal="right" vertical="center" wrapText="1"/>
      <protection hidden="1"/>
    </xf>
    <xf numFmtId="0" fontId="0" fillId="0" borderId="2" xfId="0" applyBorder="1"/>
    <xf numFmtId="0" fontId="0" fillId="12" borderId="2" xfId="0" applyFill="1" applyBorder="1"/>
    <xf numFmtId="0" fontId="0" fillId="0" borderId="5" xfId="0" applyBorder="1"/>
    <xf numFmtId="0" fontId="0" fillId="12" borderId="5" xfId="0" applyFill="1" applyBorder="1"/>
    <xf numFmtId="0" fontId="23" fillId="10" borderId="64" xfId="0" applyFont="1" applyFill="1" applyBorder="1"/>
    <xf numFmtId="0" fontId="0" fillId="0" borderId="3" xfId="0" applyBorder="1"/>
    <xf numFmtId="0" fontId="0" fillId="12" borderId="3" xfId="0" applyFill="1" applyBorder="1"/>
    <xf numFmtId="0" fontId="32" fillId="13" borderId="64" xfId="0" applyFont="1" applyFill="1" applyBorder="1"/>
    <xf numFmtId="0" fontId="23" fillId="10" borderId="52" xfId="0" applyFont="1" applyFill="1" applyBorder="1" applyAlignment="1" applyProtection="1">
      <alignment wrapText="1"/>
      <protection hidden="1"/>
    </xf>
    <xf numFmtId="0" fontId="0" fillId="8" borderId="63" xfId="0" applyFont="1" applyFill="1" applyBorder="1"/>
    <xf numFmtId="0" fontId="23" fillId="10" borderId="10" xfId="0" applyFont="1" applyFill="1" applyBorder="1" applyAlignment="1" applyProtection="1">
      <alignment wrapText="1"/>
      <protection hidden="1"/>
    </xf>
    <xf numFmtId="0" fontId="23" fillId="6" borderId="0" xfId="0" applyFont="1" applyFill="1" applyBorder="1" applyProtection="1">
      <protection hidden="1"/>
    </xf>
    <xf numFmtId="0" fontId="0" fillId="8" borderId="64" xfId="0" applyFill="1" applyBorder="1"/>
    <xf numFmtId="0" fontId="1" fillId="5" borderId="52" xfId="0" applyFont="1" applyFill="1" applyBorder="1" applyAlignment="1" applyProtection="1">
      <alignment vertical="center"/>
      <protection hidden="1"/>
    </xf>
    <xf numFmtId="0" fontId="1" fillId="5" borderId="65" xfId="0" applyFont="1" applyFill="1" applyBorder="1" applyAlignment="1" applyProtection="1">
      <alignment horizontal="left" vertical="center"/>
      <protection hidden="1"/>
    </xf>
    <xf numFmtId="0" fontId="23" fillId="2" borderId="0" xfId="0" applyFont="1" applyFill="1" applyProtection="1">
      <protection hidden="1"/>
    </xf>
    <xf numFmtId="0" fontId="23" fillId="10" borderId="84" xfId="0" applyFont="1" applyFill="1" applyBorder="1"/>
    <xf numFmtId="0" fontId="0" fillId="8" borderId="65" xfId="0" applyFill="1" applyBorder="1"/>
    <xf numFmtId="0" fontId="0" fillId="8" borderId="2" xfId="0" applyFill="1" applyBorder="1"/>
    <xf numFmtId="0" fontId="0" fillId="8" borderId="0" xfId="0" applyFill="1"/>
    <xf numFmtId="0" fontId="0" fillId="0" borderId="15" xfId="0" applyBorder="1"/>
    <xf numFmtId="0" fontId="0" fillId="2" borderId="2" xfId="0" applyFill="1" applyBorder="1" applyProtection="1">
      <protection hidden="1"/>
    </xf>
    <xf numFmtId="0" fontId="0" fillId="3" borderId="0" xfId="0" applyFill="1" applyAlignment="1" applyProtection="1">
      <alignment horizontal="center"/>
      <protection hidden="1"/>
    </xf>
    <xf numFmtId="0" fontId="0" fillId="3" borderId="40" xfId="0" applyFill="1" applyBorder="1" applyAlignment="1" applyProtection="1">
      <alignment horizontal="center"/>
      <protection hidden="1"/>
    </xf>
    <xf numFmtId="0" fontId="0" fillId="2" borderId="55" xfId="0" applyFill="1" applyBorder="1" applyProtection="1">
      <protection hidden="1"/>
    </xf>
    <xf numFmtId="0" fontId="0" fillId="2" borderId="57" xfId="0" applyFill="1" applyBorder="1" applyProtection="1">
      <protection hidden="1"/>
    </xf>
    <xf numFmtId="0" fontId="0" fillId="2" borderId="58" xfId="0" applyFill="1" applyBorder="1" applyProtection="1">
      <protection hidden="1"/>
    </xf>
    <xf numFmtId="0" fontId="0" fillId="2" borderId="60" xfId="0" applyFill="1" applyBorder="1" applyProtection="1">
      <protection hidden="1"/>
    </xf>
    <xf numFmtId="0" fontId="23" fillId="6" borderId="98" xfId="0" applyFont="1" applyFill="1" applyBorder="1" applyProtection="1">
      <protection hidden="1"/>
    </xf>
    <xf numFmtId="0" fontId="26" fillId="5" borderId="34" xfId="0" applyFont="1" applyFill="1" applyBorder="1" applyAlignment="1" applyProtection="1">
      <alignment horizontal="center" vertical="center"/>
      <protection hidden="1"/>
    </xf>
    <xf numFmtId="0" fontId="3" fillId="4" borderId="2" xfId="0" applyFont="1" applyFill="1" applyBorder="1" applyProtection="1">
      <protection hidden="1"/>
    </xf>
    <xf numFmtId="0" fontId="26" fillId="4" borderId="2" xfId="0" applyFont="1" applyFill="1" applyBorder="1" applyAlignment="1" applyProtection="1">
      <alignment horizontal="left" vertical="center" wrapText="1"/>
      <protection locked="0"/>
    </xf>
    <xf numFmtId="0" fontId="26" fillId="4" borderId="4" xfId="0" applyFont="1" applyFill="1" applyBorder="1" applyAlignment="1" applyProtection="1">
      <alignment horizontal="left" vertical="center" wrapText="1"/>
      <protection locked="0"/>
    </xf>
    <xf numFmtId="0" fontId="0" fillId="4" borderId="0" xfId="0" applyFill="1" applyAlignment="1">
      <alignment wrapText="1"/>
    </xf>
    <xf numFmtId="0" fontId="26" fillId="4" borderId="43" xfId="0" applyFont="1" applyFill="1" applyBorder="1" applyAlignment="1" applyProtection="1">
      <alignment horizontal="center" vertical="center" wrapText="1"/>
      <protection locked="0"/>
    </xf>
    <xf numFmtId="0" fontId="1" fillId="5" borderId="54" xfId="0" applyFont="1" applyFill="1" applyBorder="1" applyAlignment="1" applyProtection="1">
      <alignment vertical="center"/>
      <protection hidden="1"/>
    </xf>
    <xf numFmtId="0" fontId="1" fillId="5" borderId="55" xfId="0" applyFont="1" applyFill="1" applyBorder="1" applyAlignment="1" applyProtection="1">
      <alignment vertical="center"/>
      <protection hidden="1"/>
    </xf>
    <xf numFmtId="0" fontId="1" fillId="5" borderId="59" xfId="0" applyFont="1" applyFill="1" applyBorder="1" applyAlignment="1" applyProtection="1">
      <alignment horizontal="left" vertical="center"/>
      <protection hidden="1"/>
    </xf>
    <xf numFmtId="0" fontId="1" fillId="5" borderId="60" xfId="0" applyFont="1" applyFill="1" applyBorder="1" applyAlignment="1" applyProtection="1">
      <alignment vertical="center"/>
      <protection hidden="1"/>
    </xf>
    <xf numFmtId="10" fontId="9" fillId="5" borderId="99" xfId="2" applyNumberFormat="1" applyFont="1" applyFill="1" applyBorder="1" applyAlignment="1" applyProtection="1">
      <alignment horizontal="left" vertical="center"/>
      <protection hidden="1"/>
    </xf>
    <xf numFmtId="0" fontId="32" fillId="0" borderId="0" xfId="0" applyFont="1" applyFill="1" applyProtection="1">
      <protection hidden="1"/>
    </xf>
    <xf numFmtId="0" fontId="40" fillId="3" borderId="101" xfId="0" applyFont="1" applyFill="1" applyBorder="1" applyAlignment="1" applyProtection="1">
      <alignment horizontal="left" vertical="center"/>
      <protection hidden="1"/>
    </xf>
    <xf numFmtId="0" fontId="0" fillId="8" borderId="2" xfId="0" applyFill="1" applyBorder="1" applyProtection="1">
      <protection hidden="1"/>
    </xf>
    <xf numFmtId="0" fontId="13" fillId="0" borderId="0" xfId="0" applyFont="1" applyFill="1" applyBorder="1" applyAlignment="1" applyProtection="1">
      <alignment vertical="center"/>
      <protection hidden="1"/>
    </xf>
    <xf numFmtId="0" fontId="0" fillId="8" borderId="0" xfId="0" applyFill="1" applyProtection="1">
      <protection hidden="1"/>
    </xf>
    <xf numFmtId="0" fontId="0" fillId="8" borderId="0" xfId="0" applyFill="1" applyBorder="1" applyProtection="1">
      <protection hidden="1"/>
    </xf>
    <xf numFmtId="0" fontId="0" fillId="2" borderId="0" xfId="0" applyFill="1" applyBorder="1" applyAlignment="1" applyProtection="1">
      <protection hidden="1"/>
    </xf>
    <xf numFmtId="0" fontId="0" fillId="0" borderId="0" xfId="0" applyProtection="1"/>
    <xf numFmtId="0" fontId="0" fillId="0" borderId="0" xfId="0" applyFill="1" applyProtection="1"/>
    <xf numFmtId="0" fontId="0" fillId="2" borderId="0" xfId="0" applyFont="1" applyFill="1" applyProtection="1"/>
    <xf numFmtId="0" fontId="0" fillId="0" borderId="0" xfId="0" applyBorder="1" applyProtection="1"/>
    <xf numFmtId="0" fontId="30" fillId="2" borderId="0"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1" fillId="2" borderId="1" xfId="0" applyFont="1" applyFill="1" applyBorder="1" applyProtection="1"/>
    <xf numFmtId="0" fontId="7" fillId="3" borderId="34" xfId="0" applyFont="1" applyFill="1" applyBorder="1" applyAlignment="1" applyProtection="1">
      <alignment horizontal="left" vertical="center"/>
    </xf>
    <xf numFmtId="0" fontId="7" fillId="3" borderId="42" xfId="0" applyFont="1" applyFill="1" applyBorder="1" applyAlignment="1" applyProtection="1">
      <alignment horizontal="left" vertical="center"/>
    </xf>
    <xf numFmtId="0" fontId="7" fillId="3" borderId="31" xfId="0" applyFont="1" applyFill="1" applyBorder="1" applyAlignment="1" applyProtection="1">
      <alignment horizontal="left" vertical="center"/>
    </xf>
    <xf numFmtId="0" fontId="1" fillId="5" borderId="31" xfId="0" applyFont="1" applyFill="1" applyBorder="1" applyAlignment="1" applyProtection="1">
      <alignment horizontal="left" vertical="center"/>
    </xf>
    <xf numFmtId="0" fontId="0" fillId="4" borderId="0" xfId="0" applyFill="1" applyProtection="1"/>
    <xf numFmtId="0" fontId="1" fillId="5" borderId="27" xfId="0" applyFont="1" applyFill="1" applyBorder="1" applyAlignment="1" applyProtection="1">
      <alignment horizontal="left" vertical="center"/>
    </xf>
    <xf numFmtId="0" fontId="7" fillId="3" borderId="44" xfId="0" applyFont="1" applyFill="1" applyBorder="1" applyAlignment="1" applyProtection="1">
      <alignment horizontal="left" vertical="center"/>
    </xf>
    <xf numFmtId="0" fontId="7" fillId="3" borderId="26" xfId="0" applyFont="1" applyFill="1" applyBorder="1" applyAlignment="1" applyProtection="1">
      <alignment horizontal="left" vertical="center"/>
    </xf>
    <xf numFmtId="0" fontId="7" fillId="3" borderId="28" xfId="0" applyFont="1" applyFill="1" applyBorder="1" applyAlignment="1" applyProtection="1">
      <alignment horizontal="left" vertical="center"/>
    </xf>
    <xf numFmtId="0" fontId="1" fillId="5" borderId="26" xfId="0" applyFont="1" applyFill="1" applyBorder="1" applyAlignment="1" applyProtection="1">
      <alignment vertical="center"/>
    </xf>
    <xf numFmtId="0" fontId="38" fillId="2" borderId="40" xfId="0" applyFont="1" applyFill="1" applyBorder="1" applyProtection="1"/>
    <xf numFmtId="0" fontId="0" fillId="2" borderId="0" xfId="0" applyFont="1" applyFill="1" applyBorder="1" applyProtection="1"/>
    <xf numFmtId="0" fontId="0" fillId="4" borderId="0" xfId="0" applyFont="1" applyFill="1" applyBorder="1" applyProtection="1"/>
    <xf numFmtId="0" fontId="41" fillId="2" borderId="96" xfId="0" applyFont="1" applyFill="1" applyBorder="1" applyAlignment="1" applyProtection="1">
      <alignment horizontal="left" vertical="top" wrapText="1"/>
    </xf>
    <xf numFmtId="0" fontId="29" fillId="2" borderId="0" xfId="0" applyFont="1" applyFill="1" applyBorder="1" applyAlignment="1" applyProtection="1">
      <alignment horizontal="left" wrapText="1"/>
    </xf>
    <xf numFmtId="0" fontId="29" fillId="2" borderId="97" xfId="0" applyFont="1" applyFill="1" applyBorder="1" applyAlignment="1" applyProtection="1">
      <alignment horizontal="left" wrapText="1"/>
    </xf>
    <xf numFmtId="0" fontId="29" fillId="2" borderId="97" xfId="0" applyFont="1" applyFill="1" applyBorder="1" applyAlignment="1" applyProtection="1">
      <alignment vertical="top" wrapText="1"/>
    </xf>
    <xf numFmtId="0" fontId="29" fillId="2" borderId="35" xfId="0" applyFont="1" applyFill="1" applyBorder="1" applyAlignment="1" applyProtection="1">
      <alignment horizontal="center" vertical="top" wrapText="1"/>
    </xf>
    <xf numFmtId="0" fontId="0" fillId="4" borderId="0" xfId="0" applyFill="1" applyAlignment="1" applyProtection="1">
      <alignment vertical="top" wrapText="1"/>
    </xf>
    <xf numFmtId="0" fontId="26" fillId="5" borderId="37" xfId="0" applyFont="1" applyFill="1" applyBorder="1" applyAlignment="1" applyProtection="1">
      <alignment horizontal="center" vertical="center"/>
    </xf>
    <xf numFmtId="164" fontId="26" fillId="5" borderId="24" xfId="0" applyNumberFormat="1" applyFont="1" applyFill="1" applyBorder="1" applyAlignment="1" applyProtection="1">
      <alignment horizontal="center" vertical="center"/>
    </xf>
    <xf numFmtId="0" fontId="0" fillId="5" borderId="24" xfId="0" applyFill="1" applyBorder="1" applyAlignment="1" applyProtection="1">
      <alignment vertical="center"/>
    </xf>
    <xf numFmtId="0" fontId="37" fillId="5" borderId="89" xfId="0" applyFont="1" applyFill="1" applyBorder="1" applyAlignment="1" applyProtection="1">
      <alignment horizontal="center" vertical="center"/>
    </xf>
    <xf numFmtId="164" fontId="37" fillId="5" borderId="88" xfId="0" applyNumberFormat="1" applyFont="1" applyFill="1" applyBorder="1" applyAlignment="1" applyProtection="1">
      <alignment horizontal="center" vertical="center"/>
    </xf>
    <xf numFmtId="0" fontId="0" fillId="5" borderId="26" xfId="0" applyFill="1" applyBorder="1" applyAlignment="1" applyProtection="1">
      <alignment horizontal="left" vertical="center"/>
    </xf>
    <xf numFmtId="0" fontId="26" fillId="5" borderId="26" xfId="0" applyFont="1" applyFill="1" applyBorder="1" applyAlignment="1" applyProtection="1">
      <alignment vertical="center"/>
    </xf>
    <xf numFmtId="0" fontId="0" fillId="5" borderId="26" xfId="0" applyFill="1" applyBorder="1" applyAlignment="1" applyProtection="1">
      <alignment vertical="center"/>
    </xf>
    <xf numFmtId="0" fontId="0" fillId="0" borderId="0" xfId="0" applyFont="1" applyProtection="1"/>
    <xf numFmtId="0" fontId="37" fillId="5" borderId="90" xfId="0" applyFont="1" applyFill="1" applyBorder="1" applyAlignment="1" applyProtection="1">
      <alignment horizontal="center" vertical="center"/>
      <protection locked="0"/>
    </xf>
    <xf numFmtId="0" fontId="0" fillId="4" borderId="0" xfId="0" applyFill="1" applyProtection="1">
      <protection locked="0"/>
    </xf>
    <xf numFmtId="0" fontId="0" fillId="4" borderId="0" xfId="0" applyFill="1" applyAlignment="1" applyProtection="1">
      <alignment wrapText="1"/>
      <protection locked="0"/>
    </xf>
    <xf numFmtId="0" fontId="26" fillId="5" borderId="93" xfId="0" applyFont="1" applyFill="1" applyBorder="1" applyAlignment="1" applyProtection="1">
      <alignment horizontal="left" vertical="center" wrapText="1"/>
      <protection locked="0"/>
    </xf>
    <xf numFmtId="0" fontId="26" fillId="5" borderId="94" xfId="0" applyFont="1" applyFill="1" applyBorder="1" applyAlignment="1" applyProtection="1">
      <alignment horizontal="center" vertical="center" wrapText="1"/>
      <protection locked="0"/>
    </xf>
    <xf numFmtId="0" fontId="26" fillId="5" borderId="93" xfId="0" applyFont="1" applyFill="1" applyBorder="1" applyAlignment="1" applyProtection="1">
      <alignment horizontal="center" vertical="center" wrapText="1"/>
      <protection locked="0"/>
    </xf>
    <xf numFmtId="0" fontId="32" fillId="0" borderId="0" xfId="0" applyFont="1" applyProtection="1"/>
    <xf numFmtId="0" fontId="23" fillId="10" borderId="52" xfId="0" applyFont="1" applyFill="1" applyBorder="1" applyProtection="1"/>
    <xf numFmtId="1" fontId="0" fillId="0" borderId="0" xfId="0" applyNumberFormat="1" applyProtection="1"/>
    <xf numFmtId="0" fontId="32" fillId="9" borderId="52" xfId="0" applyFont="1" applyFill="1" applyBorder="1" applyAlignment="1" applyProtection="1">
      <alignment horizontal="center"/>
    </xf>
    <xf numFmtId="0" fontId="0" fillId="0" borderId="0" xfId="0" applyAlignment="1" applyProtection="1">
      <alignment horizontal="right"/>
    </xf>
    <xf numFmtId="0" fontId="0" fillId="8" borderId="63" xfId="0" applyFont="1" applyFill="1" applyBorder="1" applyProtection="1"/>
    <xf numFmtId="0" fontId="0" fillId="8" borderId="64" xfId="0" applyFont="1" applyFill="1" applyBorder="1" applyProtection="1"/>
    <xf numFmtId="0" fontId="0" fillId="8" borderId="52" xfId="0" applyFill="1" applyBorder="1" applyAlignment="1" applyProtection="1">
      <alignment horizontal="center" vertical="center"/>
    </xf>
    <xf numFmtId="0" fontId="23" fillId="10" borderId="63" xfId="0" applyFont="1" applyFill="1" applyBorder="1" applyProtection="1"/>
    <xf numFmtId="0" fontId="23" fillId="10" borderId="64" xfId="0" applyFont="1" applyFill="1" applyBorder="1" applyProtection="1"/>
    <xf numFmtId="0" fontId="23" fillId="10" borderId="72" xfId="0" applyFont="1" applyFill="1" applyBorder="1" applyProtection="1"/>
    <xf numFmtId="0" fontId="0" fillId="10" borderId="53" xfId="0" applyFill="1" applyBorder="1" applyProtection="1"/>
    <xf numFmtId="0" fontId="0" fillId="10" borderId="54" xfId="0" applyFill="1" applyBorder="1" applyProtection="1"/>
    <xf numFmtId="0" fontId="0" fillId="8" borderId="68" xfId="0" applyFill="1" applyBorder="1" applyProtection="1"/>
    <xf numFmtId="0" fontId="23" fillId="10" borderId="80" xfId="0" applyFont="1" applyFill="1" applyBorder="1" applyProtection="1"/>
    <xf numFmtId="0" fontId="23" fillId="10" borderId="81" xfId="0" applyFont="1" applyFill="1" applyBorder="1" applyProtection="1"/>
    <xf numFmtId="0" fontId="23" fillId="10" borderId="82" xfId="0" applyFont="1" applyFill="1" applyBorder="1" applyProtection="1"/>
    <xf numFmtId="0" fontId="23" fillId="10" borderId="65" xfId="0" applyFont="1" applyFill="1" applyBorder="1" applyProtection="1"/>
    <xf numFmtId="0" fontId="23" fillId="10" borderId="83" xfId="0" applyFont="1" applyFill="1" applyBorder="1" applyProtection="1"/>
    <xf numFmtId="0" fontId="23" fillId="10" borderId="66" xfId="0" applyFont="1" applyFill="1" applyBorder="1" applyProtection="1"/>
    <xf numFmtId="0" fontId="23" fillId="10" borderId="9" xfId="0" applyFont="1" applyFill="1" applyBorder="1" applyProtection="1"/>
    <xf numFmtId="0" fontId="23" fillId="10" borderId="58" xfId="0" applyFont="1" applyFill="1" applyBorder="1" applyProtection="1"/>
    <xf numFmtId="0" fontId="23" fillId="10" borderId="59" xfId="0" applyFont="1" applyFill="1" applyBorder="1" applyProtection="1"/>
    <xf numFmtId="0" fontId="0" fillId="10" borderId="60" xfId="0" applyFill="1" applyBorder="1" applyProtection="1"/>
    <xf numFmtId="0" fontId="23" fillId="10" borderId="99" xfId="0" applyFont="1" applyFill="1" applyBorder="1" applyProtection="1"/>
    <xf numFmtId="0" fontId="23" fillId="10" borderId="60" xfId="0" applyFont="1" applyFill="1" applyBorder="1" applyProtection="1"/>
    <xf numFmtId="0" fontId="0" fillId="0" borderId="61" xfId="0" applyBorder="1" applyProtection="1"/>
    <xf numFmtId="0" fontId="0" fillId="0" borderId="5" xfId="0" applyBorder="1" applyProtection="1"/>
    <xf numFmtId="0" fontId="0" fillId="0" borderId="75" xfId="0" applyFill="1" applyBorder="1" applyProtection="1"/>
    <xf numFmtId="0" fontId="0" fillId="0" borderId="56" xfId="0" applyBorder="1" applyProtection="1"/>
    <xf numFmtId="0" fontId="0" fillId="0" borderId="2" xfId="0" applyBorder="1" applyProtection="1"/>
    <xf numFmtId="0" fontId="0" fillId="0" borderId="4" xfId="0" applyBorder="1" applyProtection="1"/>
    <xf numFmtId="0" fontId="0" fillId="0" borderId="69" xfId="0" applyBorder="1" applyProtection="1"/>
    <xf numFmtId="0" fontId="0" fillId="0" borderId="76" xfId="0" applyBorder="1" applyProtection="1"/>
    <xf numFmtId="10" fontId="0" fillId="12" borderId="0" xfId="0" applyNumberFormat="1" applyFill="1" applyProtection="1"/>
    <xf numFmtId="0" fontId="26" fillId="12" borderId="2" xfId="0" applyFont="1" applyFill="1" applyBorder="1" applyAlignment="1" applyProtection="1">
      <alignment horizontal="center" vertical="center"/>
    </xf>
    <xf numFmtId="1" fontId="0" fillId="12" borderId="53" xfId="0" applyNumberFormat="1" applyFill="1" applyBorder="1" applyAlignment="1" applyProtection="1">
      <alignment horizontal="right"/>
    </xf>
    <xf numFmtId="0" fontId="0" fillId="0" borderId="53" xfId="0" applyFill="1" applyBorder="1" applyAlignment="1" applyProtection="1">
      <alignment horizontal="right"/>
    </xf>
    <xf numFmtId="0" fontId="0" fillId="0" borderId="54" xfId="0" applyFill="1" applyBorder="1" applyAlignment="1" applyProtection="1">
      <alignment horizontal="right"/>
    </xf>
    <xf numFmtId="1" fontId="0" fillId="0" borderId="4" xfId="0" applyNumberFormat="1" applyFill="1" applyBorder="1" applyAlignment="1" applyProtection="1">
      <alignment horizontal="right"/>
    </xf>
    <xf numFmtId="0" fontId="0" fillId="0" borderId="54" xfId="0" applyBorder="1" applyProtection="1"/>
    <xf numFmtId="0" fontId="0" fillId="0" borderId="55" xfId="0" applyBorder="1" applyProtection="1"/>
    <xf numFmtId="0" fontId="0" fillId="12" borderId="2" xfId="0" applyFill="1" applyBorder="1" applyProtection="1"/>
    <xf numFmtId="0" fontId="0" fillId="12" borderId="57" xfId="0" applyFill="1" applyBorder="1" applyProtection="1"/>
    <xf numFmtId="1" fontId="0" fillId="12" borderId="2" xfId="0" applyNumberFormat="1" applyFill="1" applyBorder="1" applyAlignment="1" applyProtection="1">
      <alignment horizontal="right"/>
    </xf>
    <xf numFmtId="0" fontId="0" fillId="0" borderId="56" xfId="0" applyFill="1" applyBorder="1" applyAlignment="1" applyProtection="1">
      <alignment horizontal="right"/>
    </xf>
    <xf numFmtId="0" fontId="0" fillId="0" borderId="2" xfId="0" applyFill="1" applyBorder="1" applyAlignment="1" applyProtection="1">
      <alignment horizontal="right"/>
    </xf>
    <xf numFmtId="1" fontId="0" fillId="0" borderId="4" xfId="0" applyNumberFormat="1" applyFill="1" applyBorder="1" applyProtection="1"/>
    <xf numFmtId="0" fontId="0" fillId="0" borderId="57" xfId="0" applyBorder="1" applyProtection="1"/>
    <xf numFmtId="1" fontId="0" fillId="12" borderId="57" xfId="0" applyNumberFormat="1" applyFill="1" applyBorder="1" applyAlignment="1" applyProtection="1">
      <alignment horizontal="right"/>
    </xf>
    <xf numFmtId="0" fontId="0" fillId="0" borderId="4" xfId="0" applyFill="1" applyBorder="1" applyAlignment="1" applyProtection="1">
      <alignment horizontal="right"/>
    </xf>
    <xf numFmtId="0" fontId="0" fillId="0" borderId="56" xfId="0" applyFill="1" applyBorder="1" applyProtection="1"/>
    <xf numFmtId="0" fontId="0" fillId="0" borderId="2" xfId="0" applyFill="1" applyBorder="1" applyProtection="1"/>
    <xf numFmtId="0" fontId="0" fillId="0" borderId="4" xfId="0" applyFill="1" applyBorder="1" applyProtection="1"/>
    <xf numFmtId="10" fontId="0" fillId="0" borderId="2" xfId="0" applyNumberFormat="1" applyFill="1" applyBorder="1" applyProtection="1"/>
    <xf numFmtId="0" fontId="0" fillId="0" borderId="66" xfId="0" applyBorder="1" applyProtection="1"/>
    <xf numFmtId="0" fontId="0" fillId="0" borderId="3" xfId="0" applyBorder="1" applyProtection="1"/>
    <xf numFmtId="0" fontId="0" fillId="0" borderId="58" xfId="0" applyFill="1" applyBorder="1" applyProtection="1"/>
    <xf numFmtId="10" fontId="0" fillId="0" borderId="59" xfId="0" applyNumberFormat="1" applyFill="1" applyBorder="1" applyProtection="1"/>
    <xf numFmtId="0" fontId="0" fillId="0" borderId="59" xfId="0" applyFill="1" applyBorder="1" applyProtection="1"/>
    <xf numFmtId="0" fontId="0" fillId="0" borderId="78" xfId="0" applyFill="1" applyBorder="1" applyProtection="1"/>
    <xf numFmtId="0" fontId="0" fillId="0" borderId="58" xfId="0" applyFill="1" applyBorder="1" applyAlignment="1" applyProtection="1">
      <alignment horizontal="right"/>
    </xf>
    <xf numFmtId="0" fontId="0" fillId="0" borderId="59" xfId="0" applyBorder="1" applyProtection="1"/>
    <xf numFmtId="0" fontId="0" fillId="0" borderId="60" xfId="0" applyBorder="1" applyProtection="1"/>
    <xf numFmtId="0" fontId="32" fillId="13" borderId="63" xfId="0" applyFont="1" applyFill="1" applyBorder="1" applyProtection="1"/>
    <xf numFmtId="0" fontId="32" fillId="13" borderId="64" xfId="0" applyFont="1" applyFill="1" applyBorder="1" applyProtection="1"/>
    <xf numFmtId="0" fontId="32" fillId="13" borderId="72" xfId="0" applyFont="1" applyFill="1" applyBorder="1" applyProtection="1"/>
    <xf numFmtId="0" fontId="0" fillId="13" borderId="58" xfId="0" applyFill="1" applyBorder="1" applyProtection="1"/>
    <xf numFmtId="0" fontId="0" fillId="13" borderId="59" xfId="0" applyFill="1" applyBorder="1" applyProtection="1"/>
    <xf numFmtId="0" fontId="0" fillId="13" borderId="78" xfId="0" applyFill="1" applyBorder="1" applyProtection="1"/>
    <xf numFmtId="0" fontId="0" fillId="13" borderId="70" xfId="0" applyFill="1" applyBorder="1" applyProtection="1"/>
    <xf numFmtId="10" fontId="0" fillId="13" borderId="0" xfId="0" applyNumberFormat="1" applyFill="1" applyProtection="1"/>
    <xf numFmtId="10" fontId="0" fillId="0" borderId="0" xfId="0" applyNumberFormat="1" applyFill="1" applyProtection="1"/>
    <xf numFmtId="0" fontId="0" fillId="9" borderId="53" xfId="0" applyFill="1" applyBorder="1" applyProtection="1"/>
    <xf numFmtId="0" fontId="0" fillId="9" borderId="54" xfId="0" applyFill="1" applyBorder="1" applyProtection="1"/>
    <xf numFmtId="0" fontId="0" fillId="0" borderId="71" xfId="0" applyFill="1" applyBorder="1" applyProtection="1"/>
    <xf numFmtId="0" fontId="0" fillId="0" borderId="71" xfId="0" applyBorder="1" applyProtection="1"/>
    <xf numFmtId="0" fontId="26" fillId="12" borderId="7" xfId="0" applyFont="1" applyFill="1" applyBorder="1" applyAlignment="1" applyProtection="1">
      <alignment horizontal="center" vertical="center"/>
    </xf>
    <xf numFmtId="0" fontId="0" fillId="12" borderId="53" xfId="0" applyFill="1" applyBorder="1" applyProtection="1"/>
    <xf numFmtId="0" fontId="0" fillId="12" borderId="54" xfId="0" applyFill="1" applyBorder="1" applyProtection="1"/>
    <xf numFmtId="0" fontId="0" fillId="12" borderId="55" xfId="0" applyFill="1" applyBorder="1" applyProtection="1"/>
    <xf numFmtId="0" fontId="0" fillId="0" borderId="53" xfId="0" applyFill="1" applyBorder="1" applyProtection="1"/>
    <xf numFmtId="0" fontId="0" fillId="0" borderId="54" xfId="0" applyFill="1" applyBorder="1" applyProtection="1"/>
    <xf numFmtId="0" fontId="0" fillId="0" borderId="77" xfId="0" applyFill="1" applyBorder="1" applyProtection="1"/>
    <xf numFmtId="0" fontId="0" fillId="0" borderId="69" xfId="0" applyFill="1" applyBorder="1" applyProtection="1"/>
    <xf numFmtId="0" fontId="0" fillId="8" borderId="56" xfId="0" applyFill="1" applyBorder="1" applyProtection="1"/>
    <xf numFmtId="0" fontId="42" fillId="0" borderId="0" xfId="0" applyFont="1" applyProtection="1"/>
    <xf numFmtId="0" fontId="0" fillId="0" borderId="59" xfId="0" applyFill="1" applyBorder="1" applyAlignment="1" applyProtection="1">
      <alignment horizontal="right"/>
    </xf>
    <xf numFmtId="0" fontId="0" fillId="0" borderId="78" xfId="0" applyFill="1" applyBorder="1" applyAlignment="1" applyProtection="1">
      <alignment horizontal="right"/>
    </xf>
    <xf numFmtId="0" fontId="32" fillId="13" borderId="52" xfId="0" applyFont="1" applyFill="1" applyBorder="1" applyProtection="1"/>
    <xf numFmtId="0" fontId="0" fillId="8" borderId="52" xfId="0" applyFill="1" applyBorder="1" applyProtection="1"/>
    <xf numFmtId="0" fontId="0" fillId="0" borderId="77" xfId="0" applyFill="1" applyBorder="1" applyAlignment="1" applyProtection="1">
      <alignment horizontal="right"/>
    </xf>
    <xf numFmtId="0" fontId="0" fillId="0" borderId="58" xfId="0" applyBorder="1" applyProtection="1"/>
    <xf numFmtId="0" fontId="0" fillId="8" borderId="2" xfId="0" applyFill="1" applyBorder="1" applyProtection="1"/>
    <xf numFmtId="0" fontId="0" fillId="0" borderId="85" xfId="0" applyBorder="1" applyProtection="1"/>
    <xf numFmtId="0" fontId="0" fillId="12" borderId="15" xfId="0" applyFill="1" applyBorder="1" applyProtection="1"/>
    <xf numFmtId="0" fontId="0" fillId="12" borderId="86" xfId="0" applyFill="1" applyBorder="1" applyProtection="1"/>
    <xf numFmtId="10" fontId="0" fillId="11" borderId="0" xfId="0" applyNumberFormat="1" applyFill="1" applyProtection="1"/>
    <xf numFmtId="0" fontId="0" fillId="0" borderId="0" xfId="0" applyFill="1" applyAlignment="1" applyProtection="1">
      <alignment horizontal="right"/>
    </xf>
    <xf numFmtId="0" fontId="0" fillId="0" borderId="0" xfId="0" applyFill="1" applyBorder="1" applyAlignment="1" applyProtection="1">
      <alignment horizontal="right"/>
    </xf>
    <xf numFmtId="0" fontId="0" fillId="9" borderId="68" xfId="0" applyFill="1" applyBorder="1" applyProtection="1"/>
    <xf numFmtId="0" fontId="0" fillId="9" borderId="79" xfId="0" applyFill="1" applyBorder="1" applyProtection="1"/>
    <xf numFmtId="0" fontId="0" fillId="0" borderId="7" xfId="0" applyBorder="1" applyProtection="1"/>
    <xf numFmtId="10" fontId="0" fillId="12" borderId="0" xfId="0" applyNumberFormat="1" applyFill="1" applyAlignment="1" applyProtection="1">
      <alignment horizontal="center"/>
    </xf>
    <xf numFmtId="0" fontId="0" fillId="0" borderId="70" xfId="0" applyBorder="1" applyProtection="1"/>
    <xf numFmtId="0" fontId="0" fillId="0" borderId="0" xfId="0" applyFill="1" applyBorder="1" applyProtection="1"/>
    <xf numFmtId="0" fontId="0" fillId="8" borderId="79" xfId="0" applyFill="1" applyBorder="1" applyProtection="1"/>
    <xf numFmtId="0" fontId="0" fillId="0" borderId="21" xfId="0" applyBorder="1" applyProtection="1"/>
    <xf numFmtId="9" fontId="0" fillId="0" borderId="22" xfId="0" applyNumberFormat="1" applyBorder="1" applyProtection="1"/>
    <xf numFmtId="0" fontId="0" fillId="0" borderId="22" xfId="0" applyBorder="1" applyProtection="1"/>
    <xf numFmtId="0" fontId="0" fillId="0" borderId="23" xfId="0" applyBorder="1" applyProtection="1"/>
    <xf numFmtId="0" fontId="0" fillId="0" borderId="16" xfId="0" applyBorder="1" applyProtection="1"/>
    <xf numFmtId="9" fontId="0" fillId="0" borderId="0" xfId="0" applyNumberFormat="1" applyBorder="1" applyProtection="1"/>
    <xf numFmtId="0" fontId="0" fillId="0" borderId="17" xfId="0" applyBorder="1" applyProtection="1"/>
    <xf numFmtId="0" fontId="23" fillId="10" borderId="0" xfId="0" applyFont="1" applyFill="1" applyProtection="1"/>
    <xf numFmtId="0" fontId="0" fillId="0" borderId="72" xfId="0" applyFont="1" applyBorder="1" applyProtection="1"/>
    <xf numFmtId="0" fontId="0" fillId="0" borderId="73" xfId="0" applyFont="1" applyBorder="1" applyProtection="1"/>
    <xf numFmtId="0" fontId="0" fillId="0" borderId="74" xfId="0" applyFont="1" applyBorder="1" applyProtection="1"/>
    <xf numFmtId="0" fontId="0" fillId="0" borderId="52" xfId="0" applyBorder="1" applyProtection="1"/>
    <xf numFmtId="0" fontId="0" fillId="0" borderId="18" xfId="0" applyBorder="1" applyProtection="1"/>
    <xf numFmtId="9" fontId="0" fillId="0" borderId="19" xfId="0" applyNumberFormat="1" applyBorder="1" applyProtection="1"/>
    <xf numFmtId="0" fontId="0" fillId="0" borderId="19" xfId="0" applyBorder="1" applyProtection="1"/>
    <xf numFmtId="0" fontId="0" fillId="0" borderId="20" xfId="0" applyBorder="1" applyProtection="1"/>
    <xf numFmtId="0" fontId="0" fillId="10" borderId="0" xfId="0" applyFill="1" applyProtection="1"/>
    <xf numFmtId="0" fontId="0" fillId="2" borderId="0" xfId="0" applyFill="1" applyProtection="1">
      <protection locked="0" hidden="1"/>
    </xf>
    <xf numFmtId="0" fontId="0" fillId="2" borderId="0" xfId="0" applyFill="1" applyAlignment="1" applyProtection="1">
      <alignment wrapText="1"/>
      <protection locked="0" hidden="1"/>
    </xf>
    <xf numFmtId="0" fontId="12" fillId="2" borderId="0" xfId="0" applyFont="1" applyFill="1" applyAlignment="1" applyProtection="1">
      <alignment horizontal="center" wrapText="1"/>
      <protection locked="0" hidden="1"/>
    </xf>
    <xf numFmtId="0" fontId="5" fillId="16" borderId="0" xfId="0" applyFont="1" applyFill="1" applyAlignment="1" applyProtection="1">
      <alignment vertical="top" wrapText="1"/>
      <protection hidden="1"/>
    </xf>
    <xf numFmtId="0" fontId="5" fillId="15" borderId="0" xfId="0" applyFont="1" applyFill="1" applyAlignment="1" applyProtection="1">
      <alignment vertical="top" wrapText="1"/>
      <protection hidden="1"/>
    </xf>
    <xf numFmtId="0" fontId="5" fillId="14" borderId="0" xfId="0" applyFont="1" applyFill="1" applyAlignment="1" applyProtection="1">
      <alignment vertical="top" wrapText="1"/>
      <protection hidden="1"/>
    </xf>
    <xf numFmtId="0" fontId="19" fillId="3" borderId="1" xfId="0" applyFont="1" applyFill="1" applyBorder="1" applyAlignment="1" applyProtection="1">
      <alignment vertical="top"/>
    </xf>
    <xf numFmtId="0" fontId="19" fillId="3" borderId="1" xfId="0" applyFont="1" applyFill="1" applyBorder="1" applyAlignment="1" applyProtection="1">
      <alignment vertical="top" wrapText="1"/>
    </xf>
    <xf numFmtId="0" fontId="29" fillId="2" borderId="111" xfId="0" applyFont="1" applyFill="1" applyBorder="1" applyAlignment="1" applyProtection="1">
      <alignment vertical="top" wrapText="1"/>
    </xf>
    <xf numFmtId="0" fontId="29" fillId="2" borderId="112" xfId="0" applyFont="1" applyFill="1" applyBorder="1" applyAlignment="1" applyProtection="1">
      <alignment horizontal="left" wrapText="1"/>
    </xf>
    <xf numFmtId="0" fontId="0" fillId="4" borderId="0" xfId="0" applyFill="1" applyAlignment="1" applyProtection="1">
      <alignment wrapText="1"/>
    </xf>
    <xf numFmtId="164" fontId="9" fillId="5" borderId="26" xfId="2" applyNumberFormat="1" applyFont="1" applyFill="1" applyBorder="1" applyAlignment="1" applyProtection="1">
      <alignment horizontal="left" vertical="center"/>
    </xf>
    <xf numFmtId="0" fontId="39" fillId="2" borderId="0" xfId="0" applyFont="1" applyFill="1" applyBorder="1" applyAlignment="1" applyProtection="1">
      <alignment horizontal="left" vertical="center"/>
      <protection hidden="1"/>
    </xf>
    <xf numFmtId="0" fontId="9" fillId="4" borderId="0" xfId="0" applyFont="1" applyFill="1" applyAlignment="1" applyProtection="1">
      <alignment horizontal="left" vertical="top" wrapText="1"/>
    </xf>
    <xf numFmtId="0" fontId="23" fillId="6" borderId="0" xfId="0" applyFont="1" applyFill="1" applyBorder="1" applyAlignment="1" applyProtection="1">
      <alignment horizontal="right"/>
      <protection hidden="1"/>
    </xf>
    <xf numFmtId="0" fontId="26" fillId="5" borderId="93" xfId="0" applyFont="1" applyFill="1" applyBorder="1" applyAlignment="1" applyProtection="1">
      <alignment horizontal="right" vertical="center"/>
      <protection hidden="1"/>
    </xf>
    <xf numFmtId="0" fontId="0" fillId="4" borderId="0" xfId="0" applyFill="1" applyBorder="1" applyAlignment="1" applyProtection="1">
      <alignment wrapText="1"/>
    </xf>
    <xf numFmtId="0" fontId="0" fillId="2" borderId="0" xfId="0" applyFill="1" applyBorder="1" applyAlignment="1" applyProtection="1">
      <alignment horizontal="right"/>
      <protection hidden="1"/>
    </xf>
    <xf numFmtId="0" fontId="0" fillId="2" borderId="0" xfId="0" applyFill="1" applyBorder="1" applyAlignment="1" applyProtection="1">
      <alignment wrapText="1"/>
      <protection hidden="1"/>
    </xf>
    <xf numFmtId="0" fontId="0" fillId="2" borderId="0" xfId="0" applyFill="1" applyBorder="1" applyAlignment="1" applyProtection="1">
      <alignment horizontal="left" wrapText="1"/>
      <protection hidden="1"/>
    </xf>
    <xf numFmtId="0" fontId="26" fillId="4" borderId="6" xfId="0" applyFont="1" applyFill="1" applyBorder="1" applyAlignment="1" applyProtection="1">
      <alignment horizontal="left" vertical="center"/>
      <protection locked="0"/>
    </xf>
    <xf numFmtId="0" fontId="26" fillId="5" borderId="93" xfId="0" applyFont="1" applyFill="1" applyBorder="1" applyAlignment="1" applyProtection="1">
      <alignment horizontal="center" vertical="center"/>
      <protection locked="0"/>
    </xf>
    <xf numFmtId="0" fontId="29" fillId="2" borderId="1" xfId="0" applyFont="1" applyFill="1" applyBorder="1" applyAlignment="1" applyProtection="1">
      <alignment vertical="top" wrapText="1"/>
    </xf>
    <xf numFmtId="0" fontId="29" fillId="2" borderId="112" xfId="0" applyFont="1" applyFill="1" applyBorder="1" applyAlignment="1" applyProtection="1">
      <alignment horizontal="center" vertical="top" wrapText="1"/>
    </xf>
    <xf numFmtId="0" fontId="48" fillId="4" borderId="1" xfId="0" applyFont="1" applyFill="1" applyBorder="1" applyAlignment="1" applyProtection="1">
      <alignment horizontal="left"/>
    </xf>
    <xf numFmtId="0" fontId="46" fillId="4" borderId="0" xfId="0" applyFont="1" applyFill="1" applyAlignment="1" applyProtection="1">
      <alignment horizontal="left"/>
      <protection hidden="1"/>
    </xf>
    <xf numFmtId="0" fontId="24" fillId="0" borderId="2" xfId="0" applyFont="1" applyBorder="1" applyProtection="1"/>
    <xf numFmtId="0" fontId="24" fillId="0" borderId="5" xfId="0" applyFont="1" applyBorder="1" applyProtection="1"/>
    <xf numFmtId="0" fontId="24" fillId="0" borderId="2" xfId="0" applyFont="1" applyFill="1" applyBorder="1" applyProtection="1"/>
    <xf numFmtId="1" fontId="0" fillId="12" borderId="54" xfId="0" applyNumberFormat="1" applyFill="1" applyBorder="1" applyAlignment="1" applyProtection="1">
      <alignment horizontal="right"/>
    </xf>
    <xf numFmtId="1" fontId="0" fillId="12" borderId="56" xfId="0" applyNumberFormat="1" applyFill="1" applyBorder="1" applyAlignment="1" applyProtection="1">
      <alignment horizontal="right"/>
    </xf>
    <xf numFmtId="1" fontId="0" fillId="12" borderId="56" xfId="0" applyNumberFormat="1" applyFill="1" applyBorder="1" applyProtection="1"/>
    <xf numFmtId="1" fontId="0" fillId="12" borderId="2" xfId="0" applyNumberFormat="1" applyFill="1" applyBorder="1" applyProtection="1"/>
    <xf numFmtId="1" fontId="0" fillId="12" borderId="57" xfId="0" applyNumberFormat="1" applyFill="1" applyBorder="1" applyProtection="1"/>
    <xf numFmtId="1" fontId="0" fillId="12" borderId="58" xfId="0" applyNumberFormat="1" applyFill="1" applyBorder="1" applyProtection="1"/>
    <xf numFmtId="1" fontId="0" fillId="12" borderId="59" xfId="0" applyNumberFormat="1" applyFill="1" applyBorder="1" applyProtection="1"/>
    <xf numFmtId="1" fontId="0" fillId="12" borderId="60" xfId="0" applyNumberFormat="1" applyFill="1" applyBorder="1" applyProtection="1"/>
    <xf numFmtId="1" fontId="0" fillId="12" borderId="53" xfId="0" applyNumberFormat="1" applyFill="1" applyBorder="1" applyProtection="1"/>
    <xf numFmtId="1" fontId="0" fillId="12" borderId="54" xfId="0" applyNumberFormat="1" applyFill="1" applyBorder="1" applyProtection="1"/>
    <xf numFmtId="1" fontId="0" fillId="12" borderId="55" xfId="0" applyNumberFormat="1" applyFill="1" applyBorder="1" applyProtection="1"/>
    <xf numFmtId="1" fontId="0" fillId="12" borderId="58" xfId="0" applyNumberFormat="1" applyFill="1" applyBorder="1" applyAlignment="1" applyProtection="1">
      <alignment horizontal="right"/>
    </xf>
    <xf numFmtId="1" fontId="0" fillId="12" borderId="59" xfId="0" applyNumberFormat="1" applyFill="1" applyBorder="1" applyAlignment="1" applyProtection="1">
      <alignment horizontal="right"/>
    </xf>
    <xf numFmtId="1" fontId="0" fillId="12" borderId="60" xfId="0" applyNumberFormat="1" applyFill="1" applyBorder="1" applyAlignment="1" applyProtection="1">
      <alignment horizontal="right"/>
    </xf>
    <xf numFmtId="1" fontId="24" fillId="12" borderId="2" xfId="0" applyNumberFormat="1" applyFont="1" applyFill="1" applyBorder="1" applyAlignment="1" applyProtection="1">
      <alignment horizontal="right"/>
    </xf>
    <xf numFmtId="1" fontId="24" fillId="12" borderId="56" xfId="0" applyNumberFormat="1" applyFont="1" applyFill="1" applyBorder="1" applyProtection="1"/>
    <xf numFmtId="1" fontId="24" fillId="12" borderId="2" xfId="0" applyNumberFormat="1" applyFont="1" applyFill="1" applyBorder="1" applyProtection="1"/>
    <xf numFmtId="1" fontId="24" fillId="12" borderId="57" xfId="0" applyNumberFormat="1" applyFont="1" applyFill="1" applyBorder="1" applyProtection="1"/>
    <xf numFmtId="1" fontId="24" fillId="12" borderId="54" xfId="0" applyNumberFormat="1" applyFont="1" applyFill="1" applyBorder="1" applyProtection="1"/>
    <xf numFmtId="0" fontId="0" fillId="12" borderId="116" xfId="0" applyFill="1" applyBorder="1" applyProtection="1"/>
    <xf numFmtId="0" fontId="0" fillId="12" borderId="84" xfId="0" applyFill="1" applyBorder="1" applyProtection="1"/>
    <xf numFmtId="0" fontId="0" fillId="12" borderId="117" xfId="0" applyFill="1" applyBorder="1" applyProtection="1"/>
    <xf numFmtId="0" fontId="0" fillId="12" borderId="56" xfId="0" applyFill="1" applyBorder="1" applyProtection="1"/>
    <xf numFmtId="0" fontId="0" fillId="0" borderId="53" xfId="0" applyBorder="1" applyProtection="1"/>
    <xf numFmtId="0" fontId="0" fillId="0" borderId="15" xfId="0" applyBorder="1" applyProtection="1"/>
    <xf numFmtId="0" fontId="23" fillId="6" borderId="45" xfId="0" applyFont="1" applyFill="1" applyBorder="1" applyAlignment="1" applyProtection="1">
      <alignment vertical="center"/>
    </xf>
    <xf numFmtId="0" fontId="23" fillId="6" borderId="45" xfId="0" applyFont="1" applyFill="1" applyBorder="1" applyAlignment="1" applyProtection="1">
      <alignment vertical="center"/>
      <protection locked="0"/>
    </xf>
    <xf numFmtId="0" fontId="23" fillId="6" borderId="48" xfId="0" applyFont="1" applyFill="1" applyBorder="1" applyAlignment="1" applyProtection="1">
      <alignment horizontal="left" vertical="center"/>
      <protection locked="0"/>
    </xf>
    <xf numFmtId="0" fontId="0" fillId="5" borderId="24" xfId="0" applyFont="1" applyFill="1" applyBorder="1" applyAlignment="1" applyProtection="1">
      <alignment horizontal="left" vertical="center"/>
    </xf>
    <xf numFmtId="0" fontId="0" fillId="4" borderId="0" xfId="0" applyFill="1" applyAlignment="1" applyProtection="1">
      <alignment vertical="center" wrapText="1"/>
      <protection locked="0"/>
    </xf>
    <xf numFmtId="0" fontId="32" fillId="5" borderId="88"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0" xfId="0" applyFill="1" applyBorder="1" applyAlignment="1" applyProtection="1">
      <alignment vertical="center"/>
    </xf>
    <xf numFmtId="0" fontId="0" fillId="2" borderId="0" xfId="0" applyFill="1" applyBorder="1" applyAlignment="1" applyProtection="1">
      <alignment vertical="center"/>
      <protection locked="0"/>
    </xf>
    <xf numFmtId="0" fontId="0" fillId="2" borderId="0" xfId="0" applyFill="1" applyBorder="1" applyAlignment="1" applyProtection="1">
      <alignment horizontal="left" vertical="center" wrapText="1"/>
      <protection locked="0"/>
    </xf>
    <xf numFmtId="0" fontId="0" fillId="2" borderId="0" xfId="0" applyFill="1" applyBorder="1" applyAlignment="1" applyProtection="1">
      <alignment vertical="center" wrapText="1"/>
      <protection locked="0"/>
    </xf>
    <xf numFmtId="0" fontId="0" fillId="4" borderId="0" xfId="0" applyFill="1" applyBorder="1" applyAlignment="1" applyProtection="1">
      <alignment vertical="center" wrapText="1"/>
      <protection locked="0"/>
    </xf>
    <xf numFmtId="0" fontId="28" fillId="6" borderId="0" xfId="0" applyFont="1" applyFill="1" applyBorder="1" applyAlignment="1" applyProtection="1">
      <alignment horizontal="left" vertical="center"/>
    </xf>
    <xf numFmtId="0" fontId="23" fillId="6" borderId="45" xfId="0" applyFont="1" applyFill="1" applyBorder="1" applyAlignment="1" applyProtection="1">
      <alignment horizontal="left" vertical="center" wrapText="1"/>
      <protection locked="0"/>
    </xf>
    <xf numFmtId="0" fontId="23" fillId="6" borderId="39" xfId="0" applyFont="1" applyFill="1" applyBorder="1" applyAlignment="1" applyProtection="1">
      <alignment vertical="center"/>
      <protection locked="0"/>
    </xf>
    <xf numFmtId="0" fontId="23" fillId="6" borderId="48" xfId="0" applyFont="1" applyFill="1" applyBorder="1" applyAlignment="1" applyProtection="1">
      <alignment horizontal="left" vertical="center" wrapText="1"/>
      <protection locked="0"/>
    </xf>
    <xf numFmtId="0" fontId="23" fillId="6" borderId="1" xfId="0" applyFont="1" applyFill="1" applyBorder="1" applyAlignment="1" applyProtection="1">
      <alignment horizontal="left" vertical="center" wrapText="1"/>
      <protection locked="0"/>
    </xf>
    <xf numFmtId="0" fontId="23" fillId="6" borderId="1" xfId="0" applyFont="1" applyFill="1" applyBorder="1" applyAlignment="1" applyProtection="1">
      <alignment vertical="center" wrapText="1"/>
      <protection locked="0"/>
    </xf>
    <xf numFmtId="0" fontId="23" fillId="6" borderId="51" xfId="0" applyFont="1" applyFill="1" applyBorder="1" applyAlignment="1" applyProtection="1">
      <alignment vertical="center" wrapText="1"/>
      <protection locked="0"/>
    </xf>
    <xf numFmtId="0" fontId="0" fillId="2" borderId="0" xfId="0" applyFill="1" applyBorder="1" applyAlignment="1" applyProtection="1">
      <alignment horizontal="left" vertical="center" wrapText="1"/>
    </xf>
    <xf numFmtId="0" fontId="28" fillId="6" borderId="0" xfId="0" applyFont="1" applyFill="1" applyBorder="1" applyAlignment="1" applyProtection="1">
      <alignment horizontal="left" vertical="center" wrapText="1"/>
    </xf>
    <xf numFmtId="164" fontId="23" fillId="6" borderId="45" xfId="0" applyNumberFormat="1" applyFont="1" applyFill="1" applyBorder="1" applyAlignment="1" applyProtection="1">
      <alignment vertical="center"/>
    </xf>
    <xf numFmtId="0" fontId="23" fillId="6" borderId="49" xfId="0" applyFont="1" applyFill="1" applyBorder="1" applyAlignment="1" applyProtection="1">
      <alignment horizontal="left" vertical="center" wrapText="1"/>
      <protection locked="0"/>
    </xf>
    <xf numFmtId="0" fontId="23" fillId="6" borderId="45" xfId="0" applyFont="1" applyFill="1" applyBorder="1" applyAlignment="1" applyProtection="1">
      <alignment vertical="center" wrapText="1"/>
      <protection locked="0"/>
    </xf>
    <xf numFmtId="0" fontId="23" fillId="6" borderId="46" xfId="0" applyFont="1" applyFill="1" applyBorder="1" applyAlignment="1" applyProtection="1">
      <alignment vertical="center" wrapText="1"/>
      <protection locked="0"/>
    </xf>
    <xf numFmtId="0" fontId="0" fillId="5" borderId="24" xfId="0" applyFont="1" applyFill="1" applyBorder="1" applyAlignment="1" applyProtection="1">
      <alignment horizontal="left" vertical="center" wrapText="1"/>
    </xf>
    <xf numFmtId="0" fontId="32" fillId="5" borderId="88" xfId="0" applyFont="1" applyFill="1" applyBorder="1" applyAlignment="1" applyProtection="1">
      <alignment horizontal="left" vertical="center" wrapText="1"/>
    </xf>
    <xf numFmtId="0" fontId="0" fillId="0" borderId="2" xfId="0" applyFill="1" applyBorder="1" applyProtection="1">
      <protection hidden="1"/>
    </xf>
    <xf numFmtId="0" fontId="0" fillId="2" borderId="0" xfId="0" applyFill="1" applyBorder="1" applyAlignment="1" applyProtection="1">
      <alignment horizontal="left" vertical="center"/>
      <protection hidden="1"/>
    </xf>
    <xf numFmtId="0" fontId="26" fillId="4" borderId="74" xfId="0" applyFont="1" applyFill="1" applyBorder="1" applyAlignment="1" applyProtection="1">
      <alignment horizontal="center" vertical="center"/>
      <protection locked="0"/>
    </xf>
    <xf numFmtId="0" fontId="0" fillId="18" borderId="72" xfId="0" applyFill="1" applyBorder="1" applyProtection="1"/>
    <xf numFmtId="0" fontId="0" fillId="18" borderId="74" xfId="0" applyFill="1" applyBorder="1" applyProtection="1"/>
    <xf numFmtId="0" fontId="23" fillId="10" borderId="77" xfId="0" applyFont="1" applyFill="1" applyBorder="1" applyProtection="1"/>
    <xf numFmtId="0" fontId="0" fillId="0" borderId="0" xfId="0"/>
    <xf numFmtId="0" fontId="51" fillId="4" borderId="0" xfId="0" applyFont="1" applyFill="1" applyBorder="1" applyAlignment="1">
      <alignment horizontal="left" vertical="top" wrapText="1"/>
    </xf>
    <xf numFmtId="0" fontId="50" fillId="0" borderId="0" xfId="0" applyFont="1" applyBorder="1"/>
    <xf numFmtId="0" fontId="51" fillId="0" borderId="0" xfId="0" applyFont="1" applyBorder="1"/>
    <xf numFmtId="0" fontId="51" fillId="0" borderId="0" xfId="0" applyFont="1" applyFill="1" applyBorder="1"/>
    <xf numFmtId="0" fontId="54" fillId="0" borderId="119" xfId="0" applyFont="1" applyBorder="1" applyProtection="1">
      <protection locked="0"/>
    </xf>
    <xf numFmtId="0" fontId="54" fillId="0" borderId="123" xfId="0" applyFont="1" applyBorder="1" applyProtection="1">
      <protection locked="0"/>
    </xf>
    <xf numFmtId="49" fontId="54" fillId="0" borderId="123" xfId="0" applyNumberFormat="1" applyFont="1" applyBorder="1" applyProtection="1">
      <protection locked="0"/>
    </xf>
    <xf numFmtId="0" fontId="54" fillId="0" borderId="120" xfId="0" applyFont="1" applyBorder="1" applyAlignment="1" applyProtection="1">
      <alignment horizontal="left" vertical="center"/>
      <protection locked="0"/>
    </xf>
    <xf numFmtId="0" fontId="54" fillId="0" borderId="121" xfId="0" applyFont="1" applyBorder="1" applyAlignment="1" applyProtection="1">
      <alignment horizontal="left" vertical="center"/>
      <protection locked="0"/>
    </xf>
    <xf numFmtId="0" fontId="54" fillId="0" borderId="122" xfId="0" applyFont="1" applyBorder="1" applyAlignment="1" applyProtection="1">
      <alignment horizontal="left" vertical="center"/>
      <protection locked="0"/>
    </xf>
    <xf numFmtId="0" fontId="51" fillId="19" borderId="63" xfId="0" applyFont="1" applyFill="1" applyBorder="1" applyAlignment="1">
      <alignment horizontal="center" vertical="top" wrapText="1"/>
    </xf>
    <xf numFmtId="0" fontId="51" fillId="19" borderId="64" xfId="0" applyFont="1" applyFill="1" applyBorder="1" applyAlignment="1">
      <alignment horizontal="left" vertical="top" wrapText="1"/>
    </xf>
    <xf numFmtId="0" fontId="51" fillId="19" borderId="65" xfId="0" applyFont="1" applyFill="1" applyBorder="1" applyAlignment="1">
      <alignment horizontal="center" vertical="top" wrapText="1"/>
    </xf>
    <xf numFmtId="0" fontId="0" fillId="8" borderId="108" xfId="0" applyFill="1" applyBorder="1"/>
    <xf numFmtId="0" fontId="0" fillId="8" borderId="72" xfId="0" applyFill="1" applyBorder="1"/>
    <xf numFmtId="0" fontId="19" fillId="3" borderId="0" xfId="0" applyFont="1" applyFill="1" applyBorder="1" applyAlignment="1" applyProtection="1">
      <alignment vertical="top"/>
      <protection hidden="1"/>
    </xf>
    <xf numFmtId="0" fontId="0" fillId="0" borderId="0" xfId="0" applyAlignment="1">
      <alignment horizontal="center" vertical="center"/>
    </xf>
    <xf numFmtId="0" fontId="0" fillId="18" borderId="5" xfId="0" applyFill="1" applyBorder="1"/>
    <xf numFmtId="0" fontId="0" fillId="0" borderId="0" xfId="0"/>
    <xf numFmtId="0" fontId="50" fillId="0" borderId="0" xfId="0" applyFont="1" applyBorder="1"/>
    <xf numFmtId="0" fontId="54" fillId="0" borderId="123" xfId="0" applyFont="1" applyBorder="1" applyProtection="1">
      <protection locked="0"/>
    </xf>
    <xf numFmtId="0" fontId="26" fillId="4" borderId="2" xfId="0" applyFont="1" applyFill="1" applyBorder="1" applyAlignment="1" applyProtection="1">
      <alignment horizontal="left" vertical="center"/>
      <protection hidden="1"/>
    </xf>
    <xf numFmtId="0" fontId="56" fillId="2" borderId="1" xfId="0" applyFont="1" applyFill="1" applyBorder="1" applyAlignment="1" applyProtection="1">
      <alignment horizontal="left"/>
      <protection hidden="1"/>
    </xf>
    <xf numFmtId="0" fontId="1" fillId="5" borderId="2" xfId="0" applyFont="1" applyFill="1" applyBorder="1" applyAlignment="1" applyProtection="1">
      <alignment horizontal="left" vertical="center"/>
      <protection hidden="1"/>
    </xf>
    <xf numFmtId="0" fontId="35" fillId="4" borderId="4" xfId="0" applyFont="1" applyFill="1" applyBorder="1" applyAlignment="1" applyProtection="1">
      <alignment horizontal="left" vertical="center"/>
      <protection hidden="1"/>
    </xf>
    <xf numFmtId="0" fontId="35" fillId="4" borderId="6" xfId="0" applyFont="1" applyFill="1" applyBorder="1" applyAlignment="1" applyProtection="1">
      <alignment horizontal="left" vertical="center"/>
      <protection hidden="1"/>
    </xf>
    <xf numFmtId="0" fontId="35" fillId="4" borderId="7" xfId="0" applyFont="1" applyFill="1" applyBorder="1" applyAlignment="1" applyProtection="1">
      <alignment horizontal="left" vertical="center"/>
      <protection hidden="1"/>
    </xf>
    <xf numFmtId="0" fontId="1" fillId="5" borderId="4" xfId="0" applyFont="1" applyFill="1" applyBorder="1" applyAlignment="1" applyProtection="1">
      <alignment horizontal="left" vertical="center"/>
      <protection hidden="1"/>
    </xf>
    <xf numFmtId="0" fontId="1" fillId="5" borderId="7" xfId="0" applyFont="1" applyFill="1" applyBorder="1" applyAlignment="1" applyProtection="1">
      <alignment horizontal="left" vertical="center"/>
      <protection hidden="1"/>
    </xf>
    <xf numFmtId="164" fontId="9" fillId="5" borderId="4" xfId="2" applyNumberFormat="1" applyFont="1" applyFill="1" applyBorder="1" applyAlignment="1" applyProtection="1">
      <alignment horizontal="left" vertical="center"/>
      <protection hidden="1"/>
    </xf>
    <xf numFmtId="10" fontId="9" fillId="5" borderId="7" xfId="2" applyNumberFormat="1" applyFont="1" applyFill="1" applyBorder="1" applyAlignment="1" applyProtection="1">
      <alignment horizontal="left" vertical="center"/>
      <protection hidden="1"/>
    </xf>
    <xf numFmtId="0" fontId="1" fillId="5" borderId="7" xfId="0" applyFont="1" applyFill="1" applyBorder="1" applyAlignment="1" applyProtection="1">
      <alignment vertical="center"/>
      <protection hidden="1"/>
    </xf>
    <xf numFmtId="0" fontId="0" fillId="4" borderId="6" xfId="0" applyFill="1" applyBorder="1" applyAlignment="1" applyProtection="1">
      <alignment horizontal="center"/>
      <protection hidden="1"/>
    </xf>
    <xf numFmtId="0" fontId="26" fillId="5" borderId="94" xfId="0" applyFont="1" applyFill="1" applyBorder="1" applyAlignment="1" applyProtection="1">
      <alignment horizontal="left" vertical="center" wrapText="1"/>
      <protection locked="0"/>
    </xf>
    <xf numFmtId="0" fontId="37" fillId="5" borderId="129" xfId="0" applyFont="1" applyFill="1" applyBorder="1" applyAlignment="1" applyProtection="1">
      <alignment horizontal="center" vertical="center" wrapText="1"/>
      <protection locked="0"/>
    </xf>
    <xf numFmtId="0" fontId="19" fillId="4" borderId="0" xfId="0" applyFont="1" applyFill="1" applyBorder="1" applyAlignment="1" applyProtection="1">
      <alignment vertical="top"/>
      <protection hidden="1"/>
    </xf>
    <xf numFmtId="0" fontId="19" fillId="3" borderId="1" xfId="0" applyFont="1" applyFill="1" applyBorder="1" applyAlignment="1" applyProtection="1">
      <alignment vertical="top"/>
      <protection hidden="1"/>
    </xf>
    <xf numFmtId="0" fontId="0" fillId="4" borderId="0" xfId="0" applyFill="1" applyAlignment="1" applyProtection="1">
      <protection hidden="1"/>
    </xf>
    <xf numFmtId="0" fontId="0" fillId="2" borderId="0" xfId="0" applyFill="1" applyAlignment="1" applyProtection="1">
      <protection hidden="1"/>
    </xf>
    <xf numFmtId="0" fontId="23" fillId="2" borderId="0" xfId="0" applyFont="1" applyFill="1" applyAlignment="1" applyProtection="1">
      <protection hidden="1"/>
    </xf>
    <xf numFmtId="0" fontId="0" fillId="4" borderId="0" xfId="0" applyFill="1" applyBorder="1" applyAlignment="1" applyProtection="1">
      <protection hidden="1"/>
    </xf>
    <xf numFmtId="0" fontId="23" fillId="2" borderId="0" xfId="0" applyFont="1" applyFill="1" applyBorder="1" applyAlignment="1" applyProtection="1">
      <protection hidden="1"/>
    </xf>
    <xf numFmtId="0" fontId="11" fillId="2" borderId="14" xfId="0" applyFont="1" applyFill="1" applyBorder="1" applyAlignment="1" applyProtection="1">
      <protection hidden="1"/>
    </xf>
    <xf numFmtId="0" fontId="56" fillId="2" borderId="1" xfId="0" applyFont="1" applyFill="1" applyBorder="1" applyAlignment="1" applyProtection="1">
      <alignment horizontal="center"/>
      <protection hidden="1"/>
    </xf>
    <xf numFmtId="0" fontId="44" fillId="2" borderId="1" xfId="0" applyFont="1" applyFill="1" applyBorder="1" applyAlignment="1" applyProtection="1">
      <alignment horizontal="center"/>
      <protection hidden="1"/>
    </xf>
    <xf numFmtId="0" fontId="49" fillId="2" borderId="1" xfId="0" applyFont="1" applyFill="1" applyBorder="1" applyAlignment="1" applyProtection="1">
      <alignment horizontal="center"/>
      <protection hidden="1"/>
    </xf>
    <xf numFmtId="0" fontId="44" fillId="2" borderId="5" xfId="0" applyFont="1" applyFill="1" applyBorder="1" applyAlignment="1" applyProtection="1">
      <alignment horizontal="center"/>
      <protection hidden="1"/>
    </xf>
    <xf numFmtId="0" fontId="56" fillId="2" borderId="14" xfId="0" applyFont="1" applyFill="1" applyBorder="1" applyAlignment="1" applyProtection="1">
      <alignment horizontal="center"/>
      <protection hidden="1"/>
    </xf>
    <xf numFmtId="0" fontId="44" fillId="2" borderId="0" xfId="0" applyFont="1" applyFill="1" applyBorder="1" applyAlignment="1" applyProtection="1">
      <alignment horizontal="center"/>
      <protection hidden="1"/>
    </xf>
    <xf numFmtId="0" fontId="0" fillId="2" borderId="1" xfId="0" applyFill="1" applyBorder="1" applyAlignment="1" applyProtection="1">
      <protection hidden="1"/>
    </xf>
    <xf numFmtId="0" fontId="0" fillId="2" borderId="12" xfId="0" applyFont="1" applyFill="1" applyBorder="1" applyAlignment="1" applyProtection="1">
      <protection hidden="1"/>
    </xf>
    <xf numFmtId="0" fontId="0" fillId="4" borderId="15" xfId="0" applyFill="1" applyBorder="1" applyAlignment="1" applyProtection="1">
      <protection hidden="1"/>
    </xf>
    <xf numFmtId="0" fontId="0" fillId="2" borderId="0" xfId="0" applyFont="1" applyFill="1" applyAlignment="1" applyProtection="1">
      <protection hidden="1"/>
    </xf>
    <xf numFmtId="0" fontId="0" fillId="4" borderId="0" xfId="0" applyFont="1" applyFill="1" applyAlignment="1" applyProtection="1">
      <protection hidden="1"/>
    </xf>
    <xf numFmtId="0" fontId="1" fillId="4" borderId="0" xfId="0" applyFont="1" applyFill="1" applyAlignment="1" applyProtection="1">
      <protection hidden="1"/>
    </xf>
    <xf numFmtId="0" fontId="9" fillId="4" borderId="0" xfId="0" applyFont="1" applyFill="1" applyAlignment="1" applyProtection="1">
      <alignment horizontal="left" vertical="top"/>
      <protection hidden="1"/>
    </xf>
    <xf numFmtId="0" fontId="0" fillId="0" borderId="0" xfId="0" applyAlignment="1" applyProtection="1">
      <protection hidden="1"/>
    </xf>
    <xf numFmtId="0" fontId="0" fillId="2" borderId="0" xfId="0" applyFont="1" applyFill="1" applyBorder="1" applyAlignment="1" applyProtection="1">
      <protection hidden="1"/>
    </xf>
    <xf numFmtId="0" fontId="38" fillId="2" borderId="0" xfId="0" applyFont="1" applyFill="1" applyBorder="1" applyAlignment="1" applyProtection="1">
      <protection hidden="1"/>
    </xf>
    <xf numFmtId="0" fontId="0" fillId="4" borderId="0" xfId="0" applyFont="1" applyFill="1" applyBorder="1" applyAlignment="1" applyProtection="1">
      <protection hidden="1"/>
    </xf>
    <xf numFmtId="0" fontId="57" fillId="2" borderId="0" xfId="0" applyFont="1" applyFill="1" applyBorder="1" applyAlignment="1" applyProtection="1">
      <alignment horizontal="left"/>
      <protection hidden="1"/>
    </xf>
    <xf numFmtId="0" fontId="3" fillId="4" borderId="0" xfId="0" applyFont="1" applyFill="1" applyAlignment="1" applyProtection="1">
      <protection hidden="1"/>
    </xf>
    <xf numFmtId="0" fontId="23" fillId="5" borderId="14" xfId="0" applyFont="1" applyFill="1" applyBorder="1" applyAlignment="1" applyProtection="1">
      <alignment horizontal="left" vertical="center"/>
      <protection hidden="1"/>
    </xf>
    <xf numFmtId="0" fontId="15" fillId="4" borderId="0" xfId="0" applyFont="1" applyFill="1" applyAlignment="1" applyProtection="1">
      <protection hidden="1"/>
    </xf>
    <xf numFmtId="0" fontId="24" fillId="2" borderId="0" xfId="0" applyFont="1" applyFill="1" applyAlignment="1" applyProtection="1">
      <protection hidden="1"/>
    </xf>
    <xf numFmtId="0" fontId="0" fillId="2" borderId="0" xfId="0" applyFill="1" applyBorder="1" applyAlignment="1" applyProtection="1">
      <alignment horizontal="left" vertical="top"/>
      <protection hidden="1"/>
    </xf>
    <xf numFmtId="0" fontId="23" fillId="4" borderId="0" xfId="0" applyFont="1" applyFill="1" applyAlignment="1" applyProtection="1">
      <protection hidden="1"/>
    </xf>
    <xf numFmtId="0" fontId="12" fillId="2" borderId="0" xfId="0" applyFont="1" applyFill="1" applyAlignment="1" applyProtection="1">
      <alignment horizontal="center"/>
      <protection hidden="1"/>
    </xf>
    <xf numFmtId="0" fontId="17" fillId="2" borderId="0" xfId="0" applyFont="1" applyFill="1" applyAlignment="1" applyProtection="1">
      <alignment horizontal="left" vertical="top"/>
      <protection hidden="1"/>
    </xf>
    <xf numFmtId="0" fontId="14" fillId="2" borderId="0" xfId="0" applyFont="1" applyFill="1" applyAlignment="1" applyProtection="1">
      <alignment vertical="center" wrapText="1"/>
      <protection hidden="1"/>
    </xf>
    <xf numFmtId="0" fontId="58" fillId="2" borderId="0" xfId="0" applyFont="1" applyFill="1" applyProtection="1">
      <protection hidden="1"/>
    </xf>
    <xf numFmtId="0" fontId="58" fillId="4" borderId="0" xfId="0" applyFont="1" applyFill="1"/>
    <xf numFmtId="0" fontId="59" fillId="3" borderId="0" xfId="0" applyFont="1" applyFill="1" applyBorder="1" applyAlignment="1" applyProtection="1">
      <alignment horizontal="left" vertical="top"/>
      <protection hidden="1"/>
    </xf>
    <xf numFmtId="0" fontId="60" fillId="3" borderId="0" xfId="0" applyFont="1" applyFill="1" applyBorder="1" applyProtection="1">
      <protection hidden="1"/>
    </xf>
    <xf numFmtId="0" fontId="59" fillId="3" borderId="0" xfId="0" applyFont="1" applyFill="1" applyBorder="1" applyAlignment="1" applyProtection="1">
      <alignment vertical="top"/>
      <protection hidden="1"/>
    </xf>
    <xf numFmtId="0" fontId="61" fillId="2" borderId="0" xfId="0" applyFont="1" applyFill="1" applyAlignment="1" applyProtection="1">
      <alignment horizontal="left" vertical="center"/>
      <protection hidden="1"/>
    </xf>
    <xf numFmtId="0" fontId="62" fillId="2" borderId="0" xfId="0" applyFont="1" applyFill="1" applyAlignment="1" applyProtection="1">
      <alignment horizontal="right"/>
      <protection hidden="1"/>
    </xf>
    <xf numFmtId="0" fontId="63" fillId="4" borderId="1" xfId="0" applyFont="1" applyFill="1" applyBorder="1" applyAlignment="1" applyProtection="1">
      <alignment horizontal="left"/>
      <protection hidden="1"/>
    </xf>
    <xf numFmtId="0" fontId="64" fillId="2" borderId="1" xfId="0" applyFont="1" applyFill="1" applyBorder="1" applyProtection="1">
      <protection hidden="1"/>
    </xf>
    <xf numFmtId="0" fontId="65" fillId="2" borderId="1" xfId="0" applyFont="1" applyFill="1" applyBorder="1" applyProtection="1">
      <protection hidden="1"/>
    </xf>
    <xf numFmtId="0" fontId="66" fillId="3" borderId="6" xfId="0" applyFont="1" applyFill="1" applyBorder="1" applyProtection="1">
      <protection hidden="1"/>
    </xf>
    <xf numFmtId="0" fontId="67" fillId="3" borderId="6" xfId="0" applyFont="1" applyFill="1" applyBorder="1" applyAlignment="1" applyProtection="1">
      <alignment horizontal="right" vertical="center"/>
      <protection hidden="1"/>
    </xf>
    <xf numFmtId="0" fontId="65" fillId="5" borderId="6" xfId="0" applyFont="1" applyFill="1" applyBorder="1" applyAlignment="1" applyProtection="1">
      <alignment horizontal="left" vertical="center"/>
      <protection hidden="1"/>
    </xf>
    <xf numFmtId="0" fontId="58" fillId="5" borderId="6" xfId="0" applyFont="1" applyFill="1" applyBorder="1" applyProtection="1">
      <protection hidden="1"/>
    </xf>
    <xf numFmtId="0" fontId="58" fillId="5" borderId="7" xfId="0" applyFont="1" applyFill="1" applyBorder="1" applyProtection="1">
      <protection hidden="1"/>
    </xf>
    <xf numFmtId="0" fontId="58" fillId="5" borderId="4" xfId="0" applyFont="1" applyFill="1" applyBorder="1" applyAlignment="1" applyProtection="1">
      <alignment horizontal="right"/>
      <protection hidden="1"/>
    </xf>
    <xf numFmtId="0" fontId="58" fillId="5" borderId="6" xfId="0" applyFont="1" applyFill="1" applyBorder="1" applyAlignment="1" applyProtection="1">
      <alignment horizontal="right"/>
      <protection hidden="1"/>
    </xf>
    <xf numFmtId="14" fontId="58" fillId="5" borderId="7" xfId="0" applyNumberFormat="1" applyFont="1" applyFill="1" applyBorder="1" applyAlignment="1" applyProtection="1">
      <alignment horizontal="left"/>
      <protection hidden="1"/>
    </xf>
    <xf numFmtId="0" fontId="66" fillId="4" borderId="0" xfId="0" applyFont="1" applyFill="1" applyBorder="1" applyProtection="1">
      <protection hidden="1"/>
    </xf>
    <xf numFmtId="0" fontId="67" fillId="4" borderId="0" xfId="0" applyFont="1" applyFill="1" applyBorder="1" applyAlignment="1" applyProtection="1">
      <alignment horizontal="right" vertical="center"/>
      <protection hidden="1"/>
    </xf>
    <xf numFmtId="0" fontId="58" fillId="4" borderId="0" xfId="0" applyFont="1" applyFill="1" applyProtection="1">
      <protection hidden="1"/>
    </xf>
    <xf numFmtId="0" fontId="67" fillId="3" borderId="102" xfId="0" applyFont="1" applyFill="1" applyBorder="1" applyProtection="1">
      <protection hidden="1"/>
    </xf>
    <xf numFmtId="0" fontId="67" fillId="3" borderId="107" xfId="0" applyFont="1" applyFill="1" applyBorder="1" applyAlignment="1" applyProtection="1">
      <alignment horizontal="right" vertical="center"/>
      <protection hidden="1"/>
    </xf>
    <xf numFmtId="0" fontId="71" fillId="4" borderId="0" xfId="0" applyFont="1" applyFill="1" applyAlignment="1" applyProtection="1">
      <alignment horizontal="left" vertical="top" wrapText="1"/>
      <protection hidden="1"/>
    </xf>
    <xf numFmtId="0" fontId="67" fillId="3" borderId="45" xfId="0" applyFont="1" applyFill="1" applyBorder="1" applyProtection="1">
      <protection hidden="1"/>
    </xf>
    <xf numFmtId="0" fontId="67" fillId="3" borderId="110" xfId="0" applyFont="1" applyFill="1" applyBorder="1" applyAlignment="1" applyProtection="1">
      <alignment horizontal="right" vertical="center"/>
      <protection hidden="1"/>
    </xf>
    <xf numFmtId="0" fontId="67" fillId="3" borderId="27" xfId="0" applyFont="1" applyFill="1" applyBorder="1" applyProtection="1">
      <protection hidden="1"/>
    </xf>
    <xf numFmtId="0" fontId="67" fillId="3" borderId="104" xfId="0" applyFont="1" applyFill="1" applyBorder="1" applyAlignment="1" applyProtection="1">
      <alignment horizontal="right" vertical="center"/>
      <protection hidden="1"/>
    </xf>
    <xf numFmtId="0" fontId="67" fillId="3" borderId="103" xfId="0" applyFont="1" applyFill="1" applyBorder="1" applyProtection="1">
      <protection hidden="1"/>
    </xf>
    <xf numFmtId="0" fontId="58" fillId="2" borderId="11" xfId="0" applyFont="1" applyFill="1" applyBorder="1" applyAlignment="1" applyProtection="1">
      <protection hidden="1"/>
    </xf>
    <xf numFmtId="0" fontId="58" fillId="2" borderId="0" xfId="0" applyFont="1" applyFill="1" applyBorder="1" applyAlignment="1" applyProtection="1">
      <protection hidden="1"/>
    </xf>
    <xf numFmtId="0" fontId="58" fillId="2" borderId="53" xfId="0" applyFont="1" applyFill="1" applyBorder="1" applyProtection="1">
      <protection hidden="1"/>
    </xf>
    <xf numFmtId="0" fontId="58" fillId="4" borderId="54" xfId="0" applyFont="1" applyFill="1" applyBorder="1"/>
    <xf numFmtId="0" fontId="58" fillId="4" borderId="55" xfId="0" applyFont="1" applyFill="1" applyBorder="1"/>
    <xf numFmtId="0" fontId="58" fillId="2" borderId="56" xfId="0" applyFont="1" applyFill="1" applyBorder="1" applyProtection="1">
      <protection hidden="1"/>
    </xf>
    <xf numFmtId="9" fontId="58" fillId="4" borderId="2" xfId="0" applyNumberFormat="1" applyFont="1" applyFill="1" applyBorder="1"/>
    <xf numFmtId="9" fontId="58" fillId="4" borderId="57" xfId="0" applyNumberFormat="1" applyFont="1" applyFill="1" applyBorder="1"/>
    <xf numFmtId="0" fontId="58" fillId="2" borderId="58" xfId="0" applyFont="1" applyFill="1" applyBorder="1" applyProtection="1">
      <protection hidden="1"/>
    </xf>
    <xf numFmtId="9" fontId="58" fillId="4" borderId="59" xfId="0" applyNumberFormat="1" applyFont="1" applyFill="1" applyBorder="1"/>
    <xf numFmtId="9" fontId="58" fillId="4" borderId="60" xfId="0" applyNumberFormat="1" applyFont="1" applyFill="1" applyBorder="1"/>
    <xf numFmtId="0" fontId="72" fillId="2" borderId="15" xfId="0" applyFont="1" applyFill="1" applyBorder="1" applyAlignment="1" applyProtection="1">
      <alignment horizontal="center" wrapText="1"/>
      <protection hidden="1"/>
    </xf>
    <xf numFmtId="0" fontId="73" fillId="2" borderId="14" xfId="0" applyFont="1" applyFill="1" applyBorder="1" applyAlignment="1" applyProtection="1">
      <alignment horizontal="left"/>
      <protection hidden="1"/>
    </xf>
    <xf numFmtId="0" fontId="68" fillId="2" borderId="1" xfId="0" applyFont="1" applyFill="1" applyBorder="1" applyAlignment="1" applyProtection="1">
      <alignment horizontal="center" wrapText="1"/>
      <protection hidden="1"/>
    </xf>
    <xf numFmtId="0" fontId="68" fillId="2" borderId="13" xfId="0" applyFont="1" applyFill="1" applyBorder="1" applyAlignment="1" applyProtection="1">
      <alignment horizontal="center" wrapText="1"/>
      <protection hidden="1"/>
    </xf>
    <xf numFmtId="0" fontId="68" fillId="2" borderId="14" xfId="0" applyFont="1" applyFill="1" applyBorder="1" applyAlignment="1" applyProtection="1">
      <alignment horizontal="center" wrapText="1"/>
      <protection hidden="1"/>
    </xf>
    <xf numFmtId="0" fontId="72" fillId="2" borderId="5" xfId="0" applyFont="1" applyFill="1" applyBorder="1" applyAlignment="1" applyProtection="1">
      <alignment horizontal="center" wrapText="1"/>
      <protection hidden="1"/>
    </xf>
    <xf numFmtId="0" fontId="68" fillId="2" borderId="5" xfId="0" applyFont="1" applyFill="1" applyBorder="1" applyAlignment="1" applyProtection="1">
      <alignment horizontal="center" vertical="top" wrapText="1"/>
      <protection hidden="1"/>
    </xf>
    <xf numFmtId="0" fontId="67" fillId="3" borderId="25" xfId="0" applyFont="1" applyFill="1" applyBorder="1" applyAlignment="1" applyProtection="1">
      <alignment horizontal="left" vertical="center"/>
      <protection hidden="1"/>
    </xf>
    <xf numFmtId="0" fontId="65" fillId="5" borderId="31" xfId="0" applyFont="1" applyFill="1" applyBorder="1" applyAlignment="1" applyProtection="1">
      <alignment horizontal="center" vertical="center"/>
      <protection hidden="1"/>
    </xf>
    <xf numFmtId="0" fontId="65" fillId="5" borderId="32" xfId="0" applyFont="1" applyFill="1" applyBorder="1" applyAlignment="1" applyProtection="1">
      <alignment horizontal="center" vertical="center"/>
      <protection hidden="1"/>
    </xf>
    <xf numFmtId="9" fontId="65" fillId="5" borderId="30" xfId="2" applyNumberFormat="1" applyFont="1" applyFill="1" applyBorder="1" applyAlignment="1" applyProtection="1">
      <alignment horizontal="center" vertical="center"/>
      <protection hidden="1"/>
    </xf>
    <xf numFmtId="9" fontId="65" fillId="5" borderId="31" xfId="2" applyNumberFormat="1" applyFont="1" applyFill="1" applyBorder="1" applyAlignment="1" applyProtection="1">
      <alignment horizontal="center" vertical="center"/>
      <protection hidden="1"/>
    </xf>
    <xf numFmtId="0" fontId="58" fillId="4" borderId="108" xfId="0" applyFont="1" applyFill="1" applyBorder="1"/>
    <xf numFmtId="0" fontId="58" fillId="4" borderId="77" xfId="0" applyFont="1" applyFill="1" applyBorder="1"/>
    <xf numFmtId="0" fontId="67" fillId="3" borderId="24" xfId="0" applyFont="1" applyFill="1" applyBorder="1" applyAlignment="1" applyProtection="1">
      <alignment horizontal="left" vertical="center"/>
      <protection hidden="1"/>
    </xf>
    <xf numFmtId="0" fontId="65" fillId="5" borderId="26" xfId="0" applyFont="1" applyFill="1" applyBorder="1" applyAlignment="1" applyProtection="1">
      <alignment horizontal="center" vertical="center"/>
      <protection hidden="1"/>
    </xf>
    <xf numFmtId="0" fontId="65" fillId="5" borderId="33" xfId="0" applyFont="1" applyFill="1" applyBorder="1" applyAlignment="1" applyProtection="1">
      <alignment horizontal="center" vertical="center"/>
      <protection hidden="1"/>
    </xf>
    <xf numFmtId="9" fontId="65" fillId="5" borderId="29" xfId="2" applyNumberFormat="1" applyFont="1" applyFill="1" applyBorder="1" applyAlignment="1" applyProtection="1">
      <alignment horizontal="center" vertical="center"/>
      <protection hidden="1"/>
    </xf>
    <xf numFmtId="0" fontId="58" fillId="4" borderId="109" xfId="0" applyFont="1" applyFill="1" applyBorder="1"/>
    <xf numFmtId="0" fontId="58" fillId="4" borderId="56" xfId="0" applyFont="1" applyFill="1" applyBorder="1"/>
    <xf numFmtId="0" fontId="58" fillId="4" borderId="2" xfId="0" applyFont="1" applyFill="1" applyBorder="1"/>
    <xf numFmtId="0" fontId="58" fillId="4" borderId="57" xfId="0" applyFont="1" applyFill="1" applyBorder="1"/>
    <xf numFmtId="0" fontId="74" fillId="4" borderId="0" xfId="0" applyFont="1" applyFill="1"/>
    <xf numFmtId="164" fontId="65" fillId="5" borderId="28" xfId="2" applyNumberFormat="1" applyFont="1" applyFill="1" applyBorder="1" applyAlignment="1" applyProtection="1">
      <alignment horizontal="center" vertical="center"/>
      <protection hidden="1"/>
    </xf>
    <xf numFmtId="0" fontId="66" fillId="3" borderId="24" xfId="0" applyFont="1" applyFill="1" applyBorder="1" applyAlignment="1" applyProtection="1">
      <alignment horizontal="left" vertical="center"/>
      <protection hidden="1"/>
    </xf>
    <xf numFmtId="0" fontId="64" fillId="5" borderId="26" xfId="0" applyFont="1" applyFill="1" applyBorder="1" applyAlignment="1" applyProtection="1">
      <alignment horizontal="center" vertical="center"/>
      <protection hidden="1"/>
    </xf>
    <xf numFmtId="0" fontId="64" fillId="5" borderId="33" xfId="0" applyFont="1" applyFill="1" applyBorder="1" applyAlignment="1" applyProtection="1">
      <alignment horizontal="center" vertical="center"/>
      <protection hidden="1"/>
    </xf>
    <xf numFmtId="164" fontId="65" fillId="5" borderId="29" xfId="2" applyNumberFormat="1" applyFont="1" applyFill="1" applyBorder="1" applyAlignment="1" applyProtection="1">
      <alignment horizontal="center" vertical="center"/>
      <protection hidden="1"/>
    </xf>
    <xf numFmtId="0" fontId="64" fillId="5" borderId="28" xfId="0" applyFont="1" applyFill="1" applyBorder="1" applyAlignment="1" applyProtection="1">
      <alignment horizontal="center" vertical="center"/>
      <protection hidden="1"/>
    </xf>
    <xf numFmtId="164" fontId="65" fillId="5" borderId="26" xfId="2" applyNumberFormat="1" applyFont="1" applyFill="1" applyBorder="1" applyAlignment="1" applyProtection="1">
      <alignment horizontal="center" vertical="center"/>
      <protection hidden="1"/>
    </xf>
    <xf numFmtId="164" fontId="64" fillId="5" borderId="24" xfId="2" applyNumberFormat="1" applyFont="1" applyFill="1" applyBorder="1" applyAlignment="1" applyProtection="1">
      <alignment horizontal="center" vertical="center"/>
      <protection hidden="1"/>
    </xf>
    <xf numFmtId="164" fontId="64" fillId="5" borderId="29" xfId="2" applyNumberFormat="1" applyFont="1" applyFill="1" applyBorder="1" applyAlignment="1" applyProtection="1">
      <alignment horizontal="center" vertical="center"/>
      <protection hidden="1"/>
    </xf>
    <xf numFmtId="0" fontId="67" fillId="3" borderId="27" xfId="0" applyFont="1" applyFill="1" applyBorder="1" applyAlignment="1" applyProtection="1">
      <alignment horizontal="left" vertical="center"/>
      <protection hidden="1"/>
    </xf>
    <xf numFmtId="0" fontId="67" fillId="3" borderId="27" xfId="0" applyFont="1" applyFill="1" applyBorder="1" applyAlignment="1" applyProtection="1">
      <alignment horizontal="right" vertical="center"/>
      <protection hidden="1"/>
    </xf>
    <xf numFmtId="164" fontId="65" fillId="5" borderId="24" xfId="2" applyNumberFormat="1" applyFont="1" applyFill="1" applyBorder="1" applyAlignment="1" applyProtection="1">
      <alignment horizontal="center" vertical="center"/>
      <protection hidden="1"/>
    </xf>
    <xf numFmtId="0" fontId="75" fillId="2" borderId="0" xfId="0" applyFont="1" applyFill="1" applyAlignment="1" applyProtection="1">
      <alignment horizontal="center" wrapText="1"/>
      <protection hidden="1"/>
    </xf>
    <xf numFmtId="0" fontId="76" fillId="2" borderId="0" xfId="0" applyFont="1" applyFill="1" applyAlignment="1" applyProtection="1">
      <alignment horizontal="center" wrapText="1"/>
      <protection hidden="1"/>
    </xf>
    <xf numFmtId="0" fontId="77" fillId="2" borderId="0" xfId="0" applyFont="1" applyFill="1" applyAlignment="1" applyProtection="1">
      <alignment horizontal="left" vertical="top" wrapText="1"/>
      <protection hidden="1"/>
    </xf>
    <xf numFmtId="0" fontId="78" fillId="4" borderId="0" xfId="0" applyFont="1" applyFill="1" applyProtection="1">
      <protection hidden="1"/>
    </xf>
    <xf numFmtId="0" fontId="79" fillId="4" borderId="0" xfId="0" applyFont="1" applyFill="1" applyProtection="1">
      <protection hidden="1"/>
    </xf>
    <xf numFmtId="0" fontId="58" fillId="2" borderId="1" xfId="0" applyFont="1" applyFill="1" applyBorder="1" applyProtection="1">
      <protection hidden="1"/>
    </xf>
    <xf numFmtId="0" fontId="80" fillId="4" borderId="0" xfId="0" applyFont="1" applyFill="1" applyProtection="1">
      <protection hidden="1"/>
    </xf>
    <xf numFmtId="0" fontId="81" fillId="2" borderId="21" xfId="0" applyFont="1" applyFill="1" applyBorder="1" applyProtection="1">
      <protection hidden="1"/>
    </xf>
    <xf numFmtId="0" fontId="81" fillId="2" borderId="22" xfId="0" applyFont="1" applyFill="1" applyBorder="1" applyProtection="1">
      <protection hidden="1"/>
    </xf>
    <xf numFmtId="10" fontId="81" fillId="2" borderId="23" xfId="0" applyNumberFormat="1" applyFont="1" applyFill="1" applyBorder="1" applyProtection="1">
      <protection hidden="1"/>
    </xf>
    <xf numFmtId="0" fontId="81" fillId="2" borderId="16" xfId="0" applyFont="1" applyFill="1" applyBorder="1" applyProtection="1">
      <protection hidden="1"/>
    </xf>
    <xf numFmtId="0" fontId="81" fillId="2" borderId="0" xfId="0" applyFont="1" applyFill="1" applyBorder="1" applyProtection="1">
      <protection hidden="1"/>
    </xf>
    <xf numFmtId="10" fontId="81" fillId="2" borderId="17" xfId="0" applyNumberFormat="1" applyFont="1" applyFill="1" applyBorder="1" applyProtection="1">
      <protection hidden="1"/>
    </xf>
    <xf numFmtId="0" fontId="81" fillId="2" borderId="18" xfId="0" applyFont="1" applyFill="1" applyBorder="1" applyProtection="1">
      <protection hidden="1"/>
    </xf>
    <xf numFmtId="0" fontId="81" fillId="2" borderId="19" xfId="0" applyFont="1" applyFill="1" applyBorder="1" applyProtection="1">
      <protection hidden="1"/>
    </xf>
    <xf numFmtId="10" fontId="81" fillId="2" borderId="20" xfId="0" applyNumberFormat="1" applyFont="1" applyFill="1" applyBorder="1" applyProtection="1">
      <protection hidden="1"/>
    </xf>
    <xf numFmtId="0" fontId="82" fillId="3" borderId="1" xfId="0" applyFont="1" applyFill="1" applyBorder="1" applyAlignment="1" applyProtection="1">
      <alignment vertical="top"/>
      <protection hidden="1"/>
    </xf>
    <xf numFmtId="0" fontId="82" fillId="3" borderId="41" xfId="0" applyFont="1" applyFill="1" applyBorder="1" applyAlignment="1" applyProtection="1">
      <alignment horizontal="left" vertical="top"/>
      <protection hidden="1"/>
    </xf>
    <xf numFmtId="0" fontId="0" fillId="0" borderId="0" xfId="0" applyProtection="1">
      <protection hidden="1"/>
    </xf>
    <xf numFmtId="0" fontId="31" fillId="3" borderId="0" xfId="0" applyFont="1" applyFill="1" applyBorder="1" applyAlignment="1" applyProtection="1">
      <alignment vertical="top"/>
      <protection hidden="1"/>
    </xf>
    <xf numFmtId="0" fontId="31" fillId="3" borderId="0" xfId="0" applyFont="1" applyFill="1" applyBorder="1" applyAlignment="1" applyProtection="1">
      <alignment vertical="top" wrapText="1"/>
      <protection hidden="1"/>
    </xf>
    <xf numFmtId="0" fontId="14" fillId="4" borderId="0" xfId="0" applyFont="1" applyFill="1" applyAlignment="1" applyProtection="1">
      <alignment vertical="center" wrapText="1"/>
      <protection hidden="1"/>
    </xf>
    <xf numFmtId="0" fontId="46" fillId="2" borderId="0" xfId="0" applyFont="1" applyFill="1" applyAlignment="1" applyProtection="1">
      <alignment horizontal="right"/>
      <protection hidden="1"/>
    </xf>
    <xf numFmtId="0" fontId="25" fillId="4" borderId="1" xfId="0" applyFont="1" applyFill="1" applyBorder="1" applyAlignment="1" applyProtection="1">
      <alignment horizontal="left"/>
      <protection hidden="1"/>
    </xf>
    <xf numFmtId="0" fontId="7" fillId="3" borderId="132" xfId="0" applyFont="1" applyFill="1" applyBorder="1" applyAlignment="1" applyProtection="1">
      <alignment horizontal="right" vertical="center"/>
      <protection hidden="1"/>
    </xf>
    <xf numFmtId="0" fontId="1" fillId="4" borderId="2" xfId="0" applyFont="1" applyFill="1" applyBorder="1" applyAlignment="1" applyProtection="1">
      <alignment vertical="center" wrapText="1"/>
      <protection locked="0" hidden="1"/>
    </xf>
    <xf numFmtId="0" fontId="7" fillId="3" borderId="100" xfId="0" applyFont="1" applyFill="1" applyBorder="1" applyAlignment="1" applyProtection="1">
      <alignment horizontal="right" vertical="center"/>
      <protection hidden="1"/>
    </xf>
    <xf numFmtId="0" fontId="7" fillId="3" borderId="130" xfId="0" applyFont="1" applyFill="1" applyBorder="1" applyAlignment="1" applyProtection="1">
      <alignment horizontal="right" vertical="center"/>
      <protection hidden="1"/>
    </xf>
    <xf numFmtId="0" fontId="7" fillId="3" borderId="101" xfId="0" applyFont="1" applyFill="1" applyBorder="1" applyAlignment="1" applyProtection="1">
      <alignment horizontal="right" vertical="center"/>
      <protection hidden="1"/>
    </xf>
    <xf numFmtId="0" fontId="1" fillId="0" borderId="2" xfId="0" applyFont="1" applyFill="1" applyBorder="1" applyAlignment="1" applyProtection="1">
      <alignment vertical="center" wrapText="1"/>
      <protection locked="0" hidden="1"/>
    </xf>
    <xf numFmtId="0" fontId="9" fillId="0" borderId="2" xfId="0" applyFont="1" applyFill="1" applyBorder="1" applyAlignment="1" applyProtection="1">
      <alignment vertical="center" wrapText="1"/>
      <protection locked="0" hidden="1"/>
    </xf>
    <xf numFmtId="0" fontId="7" fillId="3" borderId="131" xfId="0" applyFont="1" applyFill="1" applyBorder="1" applyAlignment="1" applyProtection="1">
      <alignment horizontal="right" vertical="center"/>
      <protection hidden="1"/>
    </xf>
    <xf numFmtId="0" fontId="7" fillId="3" borderId="114" xfId="0" applyFont="1" applyFill="1" applyBorder="1" applyAlignment="1" applyProtection="1">
      <alignment horizontal="right" vertical="center"/>
      <protection hidden="1"/>
    </xf>
    <xf numFmtId="0" fontId="7" fillId="3" borderId="9" xfId="0" applyFont="1" applyFill="1" applyBorder="1" applyAlignment="1" applyProtection="1">
      <alignment horizontal="right" vertical="center"/>
      <protection hidden="1"/>
    </xf>
    <xf numFmtId="0" fontId="7" fillId="3" borderId="133" xfId="0" applyFont="1" applyFill="1" applyBorder="1" applyAlignment="1" applyProtection="1">
      <alignment horizontal="right" vertical="top"/>
      <protection hidden="1"/>
    </xf>
    <xf numFmtId="0" fontId="8" fillId="3" borderId="15" xfId="0" applyFont="1" applyFill="1" applyBorder="1" applyAlignment="1" applyProtection="1">
      <alignment horizontal="right" vertical="top"/>
      <protection hidden="1"/>
    </xf>
    <xf numFmtId="0" fontId="1" fillId="0" borderId="15" xfId="0" applyFont="1" applyFill="1" applyBorder="1" applyAlignment="1" applyProtection="1">
      <alignment vertical="center" wrapText="1"/>
      <protection locked="0" hidden="1"/>
    </xf>
    <xf numFmtId="0" fontId="0" fillId="0" borderId="0" xfId="0" applyFill="1" applyProtection="1">
      <protection locked="0" hidden="1"/>
    </xf>
    <xf numFmtId="0" fontId="8" fillId="3" borderId="15" xfId="0" applyFont="1" applyFill="1" applyBorder="1" applyAlignment="1" applyProtection="1">
      <alignment horizontal="left" vertical="center" wrapText="1"/>
      <protection hidden="1"/>
    </xf>
    <xf numFmtId="0" fontId="7" fillId="3" borderId="134" xfId="0" applyFont="1" applyFill="1" applyBorder="1" applyAlignment="1" applyProtection="1">
      <alignment horizontal="right" vertical="top"/>
      <protection hidden="1"/>
    </xf>
    <xf numFmtId="0" fontId="7" fillId="3" borderId="132" xfId="0" applyFont="1" applyFill="1" applyBorder="1" applyAlignment="1" applyProtection="1">
      <alignment horizontal="right" vertical="top"/>
      <protection hidden="1"/>
    </xf>
    <xf numFmtId="0" fontId="7" fillId="3" borderId="130" xfId="0" applyFont="1" applyFill="1" applyBorder="1" applyAlignment="1" applyProtection="1">
      <alignment horizontal="right" vertical="top"/>
      <protection hidden="1"/>
    </xf>
    <xf numFmtId="0" fontId="7" fillId="3" borderId="101" xfId="0" applyFont="1" applyFill="1" applyBorder="1" applyAlignment="1" applyProtection="1">
      <alignment horizontal="right" vertical="center" wrapText="1"/>
      <protection hidden="1"/>
    </xf>
    <xf numFmtId="0" fontId="0" fillId="8" borderId="2" xfId="0" applyFont="1" applyFill="1" applyBorder="1" applyProtection="1">
      <protection hidden="1"/>
    </xf>
    <xf numFmtId="0" fontId="7" fillId="3" borderId="100" xfId="0" applyFont="1" applyFill="1" applyBorder="1" applyAlignment="1" applyProtection="1">
      <alignment horizontal="right" wrapText="1"/>
      <protection hidden="1"/>
    </xf>
    <xf numFmtId="0" fontId="1" fillId="0" borderId="2" xfId="0" applyFont="1" applyFill="1" applyBorder="1" applyAlignment="1" applyProtection="1">
      <alignment vertical="center" wrapText="1"/>
      <protection hidden="1"/>
    </xf>
    <xf numFmtId="0" fontId="7" fillId="3" borderId="131" xfId="0" applyFont="1" applyFill="1" applyBorder="1" applyAlignment="1" applyProtection="1">
      <alignment horizontal="right" vertical="top" wrapText="1"/>
      <protection hidden="1"/>
    </xf>
    <xf numFmtId="0" fontId="7" fillId="3" borderId="114" xfId="0" applyFont="1" applyFill="1" applyBorder="1" applyAlignment="1" applyProtection="1">
      <alignment horizontal="right" vertical="center" wrapText="1"/>
      <protection hidden="1"/>
    </xf>
    <xf numFmtId="0" fontId="25" fillId="4" borderId="0" xfId="0" applyFont="1" applyFill="1" applyBorder="1" applyAlignment="1" applyProtection="1">
      <alignment horizontal="left"/>
      <protection hidden="1"/>
    </xf>
    <xf numFmtId="0" fontId="0" fillId="2" borderId="1" xfId="0" applyFont="1" applyFill="1" applyBorder="1" applyProtection="1">
      <protection hidden="1"/>
    </xf>
    <xf numFmtId="0" fontId="46" fillId="2" borderId="1" xfId="0" applyFont="1" applyFill="1" applyBorder="1" applyAlignment="1" applyProtection="1">
      <alignment horizontal="right"/>
      <protection hidden="1"/>
    </xf>
    <xf numFmtId="0" fontId="35" fillId="4" borderId="0" xfId="0" applyFont="1" applyFill="1" applyBorder="1" applyAlignment="1" applyProtection="1">
      <alignment horizontal="left" vertical="top" wrapText="1"/>
      <protection hidden="1"/>
    </xf>
    <xf numFmtId="0" fontId="0" fillId="0" borderId="0" xfId="0" applyFont="1" applyAlignment="1" applyProtection="1">
      <alignment horizontal="right"/>
      <protection hidden="1"/>
    </xf>
    <xf numFmtId="0" fontId="0" fillId="2" borderId="0" xfId="0" applyFont="1" applyFill="1" applyProtection="1">
      <protection locked="0" hidden="1"/>
    </xf>
    <xf numFmtId="0" fontId="9" fillId="2" borderId="0" xfId="0" applyFont="1" applyFill="1" applyProtection="1">
      <protection locked="0" hidden="1"/>
    </xf>
    <xf numFmtId="0" fontId="33" fillId="2" borderId="0" xfId="0" applyFont="1" applyFill="1" applyProtection="1">
      <protection locked="0" hidden="1"/>
    </xf>
    <xf numFmtId="0" fontId="0" fillId="2" borderId="0" xfId="0" applyFont="1" applyFill="1" applyAlignment="1" applyProtection="1">
      <alignment horizontal="right"/>
      <protection hidden="1"/>
    </xf>
    <xf numFmtId="0" fontId="9" fillId="2" borderId="0" xfId="0" applyFont="1" applyFill="1" applyAlignment="1" applyProtection="1">
      <alignment vertical="top" wrapText="1"/>
      <protection locked="0" hidden="1"/>
    </xf>
    <xf numFmtId="0" fontId="17" fillId="2" borderId="1" xfId="0" applyFont="1" applyFill="1" applyBorder="1" applyAlignment="1" applyProtection="1">
      <alignment vertical="top" wrapText="1"/>
      <protection hidden="1"/>
    </xf>
    <xf numFmtId="0" fontId="0" fillId="8" borderId="53" xfId="0" applyFill="1" applyBorder="1" applyProtection="1">
      <protection hidden="1"/>
    </xf>
    <xf numFmtId="0" fontId="0" fillId="7" borderId="56" xfId="0" applyFill="1" applyBorder="1" applyProtection="1">
      <protection hidden="1"/>
    </xf>
    <xf numFmtId="0" fontId="13" fillId="2" borderId="0" xfId="0" applyFont="1" applyFill="1" applyAlignment="1" applyProtection="1">
      <alignment vertical="top" wrapText="1"/>
      <protection hidden="1"/>
    </xf>
    <xf numFmtId="0" fontId="0" fillId="9" borderId="56" xfId="0" applyFill="1" applyBorder="1" applyProtection="1">
      <protection hidden="1"/>
    </xf>
    <xf numFmtId="0" fontId="47" fillId="2" borderId="1" xfId="0" applyFont="1" applyFill="1" applyBorder="1" applyAlignment="1" applyProtection="1">
      <alignment horizontal="right" vertical="top" wrapText="1"/>
      <protection hidden="1"/>
    </xf>
    <xf numFmtId="0" fontId="35" fillId="2" borderId="0" xfId="0" applyFont="1" applyFill="1" applyProtection="1">
      <protection hidden="1"/>
    </xf>
    <xf numFmtId="0" fontId="45" fillId="2" borderId="0" xfId="0" applyFont="1" applyFill="1" applyProtection="1">
      <protection hidden="1"/>
    </xf>
    <xf numFmtId="0" fontId="27" fillId="2" borderId="0" xfId="0" applyFont="1" applyFill="1" applyProtection="1">
      <protection hidden="1"/>
    </xf>
    <xf numFmtId="0" fontId="43" fillId="2" borderId="0" xfId="0" applyFont="1" applyFill="1" applyProtection="1">
      <protection hidden="1"/>
    </xf>
    <xf numFmtId="0" fontId="9" fillId="2" borderId="0" xfId="0" applyFont="1" applyFill="1" applyAlignment="1" applyProtection="1">
      <alignment horizontal="right" vertical="center"/>
      <protection hidden="1"/>
    </xf>
    <xf numFmtId="2" fontId="9" fillId="2" borderId="0" xfId="0" applyNumberFormat="1" applyFont="1" applyFill="1" applyAlignment="1" applyProtection="1">
      <alignment horizontal="left" vertical="top"/>
      <protection hidden="1"/>
    </xf>
    <xf numFmtId="14" fontId="9" fillId="2" borderId="0" xfId="0" applyNumberFormat="1" applyFont="1" applyFill="1" applyAlignment="1" applyProtection="1">
      <alignment horizontal="left"/>
      <protection hidden="1"/>
    </xf>
    <xf numFmtId="0" fontId="0" fillId="0" borderId="0" xfId="0" applyFont="1" applyProtection="1">
      <protection hidden="1"/>
    </xf>
    <xf numFmtId="0" fontId="9" fillId="4" borderId="0" xfId="0" applyFont="1" applyFill="1" applyBorder="1" applyAlignment="1" applyProtection="1">
      <alignment vertical="center" wrapText="1"/>
      <protection hidden="1"/>
    </xf>
    <xf numFmtId="0" fontId="32" fillId="2" borderId="125" xfId="0" applyFont="1" applyFill="1" applyBorder="1" applyAlignment="1" applyProtection="1">
      <alignment horizontal="left" vertical="top" wrapText="1"/>
      <protection hidden="1"/>
    </xf>
    <xf numFmtId="0" fontId="32" fillId="2" borderId="0" xfId="0" applyFont="1" applyFill="1" applyBorder="1" applyAlignment="1" applyProtection="1">
      <alignment horizontal="left" vertical="top" wrapText="1"/>
      <protection hidden="1"/>
    </xf>
    <xf numFmtId="0" fontId="57" fillId="5" borderId="124" xfId="0" applyFont="1" applyFill="1" applyBorder="1" applyAlignment="1" applyProtection="1">
      <alignment vertical="center" wrapText="1"/>
      <protection hidden="1"/>
    </xf>
    <xf numFmtId="0" fontId="23" fillId="5" borderId="0" xfId="0" applyFont="1" applyFill="1" applyBorder="1" applyAlignment="1" applyProtection="1">
      <alignment vertical="center" wrapText="1"/>
      <protection hidden="1"/>
    </xf>
    <xf numFmtId="0" fontId="23" fillId="5" borderId="0" xfId="0" applyFont="1" applyFill="1" applyBorder="1" applyAlignment="1" applyProtection="1">
      <alignment horizontal="left" vertical="center" wrapText="1"/>
      <protection hidden="1"/>
    </xf>
    <xf numFmtId="0" fontId="23" fillId="4" borderId="3" xfId="0" applyFont="1" applyFill="1" applyBorder="1" applyAlignment="1" applyProtection="1">
      <alignment vertical="center" wrapText="1"/>
      <protection hidden="1"/>
    </xf>
    <xf numFmtId="0" fontId="0" fillId="4" borderId="3" xfId="0" applyFill="1" applyBorder="1" applyAlignment="1" applyProtection="1">
      <alignment vertical="center" wrapText="1"/>
      <protection hidden="1"/>
    </xf>
    <xf numFmtId="0" fontId="26" fillId="4" borderId="2" xfId="0" applyFont="1" applyFill="1" applyBorder="1" applyAlignment="1" applyProtection="1">
      <alignment horizontal="center" vertical="center" wrapText="1"/>
      <protection hidden="1"/>
    </xf>
    <xf numFmtId="164" fontId="26" fillId="4" borderId="2" xfId="0" applyNumberFormat="1" applyFont="1" applyFill="1" applyBorder="1" applyAlignment="1" applyProtection="1">
      <alignment horizontal="center" vertical="center" wrapText="1"/>
      <protection hidden="1"/>
    </xf>
    <xf numFmtId="0" fontId="0" fillId="4" borderId="2" xfId="0" applyFill="1" applyBorder="1" applyAlignment="1" applyProtection="1">
      <alignment vertical="center" wrapText="1"/>
      <protection hidden="1"/>
    </xf>
    <xf numFmtId="0" fontId="26" fillId="4" borderId="2" xfId="0" applyFont="1" applyFill="1" applyBorder="1" applyAlignment="1" applyProtection="1">
      <alignment horizontal="left" vertical="center" wrapText="1"/>
      <protection hidden="1"/>
    </xf>
    <xf numFmtId="0" fontId="26" fillId="4" borderId="4" xfId="0" applyFont="1" applyFill="1" applyBorder="1" applyAlignment="1" applyProtection="1">
      <alignment horizontal="left" vertical="center" wrapText="1"/>
      <protection hidden="1"/>
    </xf>
    <xf numFmtId="0" fontId="23" fillId="4" borderId="15" xfId="0" applyFont="1" applyFill="1" applyBorder="1" applyAlignment="1" applyProtection="1">
      <alignment vertical="center" wrapText="1"/>
      <protection hidden="1"/>
    </xf>
    <xf numFmtId="0" fontId="26" fillId="4" borderId="7" xfId="0" applyFont="1" applyFill="1" applyBorder="1" applyAlignment="1" applyProtection="1">
      <alignment horizontal="center" vertical="center" wrapText="1"/>
      <protection hidden="1"/>
    </xf>
    <xf numFmtId="0" fontId="0" fillId="4" borderId="15" xfId="0" applyFill="1" applyBorder="1" applyAlignment="1" applyProtection="1">
      <alignment vertical="center" wrapText="1"/>
      <protection hidden="1"/>
    </xf>
    <xf numFmtId="0" fontId="37" fillId="4" borderId="2" xfId="0" applyFont="1" applyFill="1" applyBorder="1" applyAlignment="1" applyProtection="1">
      <alignment horizontal="center" vertical="center" wrapText="1"/>
      <protection hidden="1"/>
    </xf>
    <xf numFmtId="164" fontId="37" fillId="4" borderId="2" xfId="0" applyNumberFormat="1" applyFont="1" applyFill="1" applyBorder="1" applyAlignment="1" applyProtection="1">
      <alignment horizontal="center" vertical="center" wrapText="1"/>
      <protection hidden="1"/>
    </xf>
    <xf numFmtId="0" fontId="37" fillId="4" borderId="7" xfId="0" applyFont="1" applyFill="1" applyBorder="1" applyAlignment="1" applyProtection="1">
      <alignment horizontal="center" vertical="center" wrapText="1"/>
      <protection hidden="1"/>
    </xf>
    <xf numFmtId="0" fontId="0" fillId="2" borderId="0" xfId="0" applyFill="1" applyBorder="1" applyAlignment="1" applyProtection="1">
      <alignment horizontal="left" vertical="center" wrapText="1"/>
      <protection hidden="1"/>
    </xf>
    <xf numFmtId="0" fontId="0" fillId="2" borderId="0" xfId="0" applyFill="1" applyBorder="1" applyAlignment="1" applyProtection="1">
      <alignment vertical="center" wrapText="1"/>
      <protection hidden="1"/>
    </xf>
    <xf numFmtId="0" fontId="57" fillId="5" borderId="128" xfId="0" applyFont="1" applyFill="1" applyBorder="1" applyAlignment="1" applyProtection="1">
      <alignment vertical="center" wrapText="1"/>
      <protection hidden="1"/>
    </xf>
    <xf numFmtId="0" fontId="21" fillId="3" borderId="106" xfId="0" applyFont="1" applyFill="1" applyBorder="1" applyAlignment="1" applyProtection="1">
      <alignment vertical="top"/>
      <protection hidden="1"/>
    </xf>
    <xf numFmtId="0" fontId="20" fillId="3" borderId="106" xfId="0" applyFont="1" applyFill="1" applyBorder="1" applyProtection="1">
      <protection hidden="1"/>
    </xf>
    <xf numFmtId="0" fontId="14" fillId="2" borderId="8" xfId="0" applyFont="1" applyFill="1" applyBorder="1" applyAlignment="1" applyProtection="1">
      <alignment horizontal="left" vertical="center"/>
      <protection hidden="1"/>
    </xf>
    <xf numFmtId="0" fontId="14" fillId="2" borderId="0" xfId="0" applyFont="1" applyFill="1" applyBorder="1" applyAlignment="1" applyProtection="1">
      <alignment horizontal="left" vertical="center" wrapText="1"/>
      <protection hidden="1"/>
    </xf>
    <xf numFmtId="0" fontId="0" fillId="2" borderId="12" xfId="0" applyFill="1" applyBorder="1" applyProtection="1">
      <protection hidden="1"/>
    </xf>
    <xf numFmtId="0" fontId="7" fillId="3" borderId="2" xfId="0" applyFont="1" applyFill="1" applyBorder="1" applyAlignment="1" applyProtection="1">
      <alignment horizontal="center"/>
      <protection hidden="1"/>
    </xf>
    <xf numFmtId="14" fontId="1" fillId="2" borderId="2" xfId="0" applyNumberFormat="1" applyFont="1" applyFill="1" applyBorder="1" applyAlignment="1" applyProtection="1">
      <alignment horizontal="center" vertical="center"/>
      <protection hidden="1"/>
    </xf>
    <xf numFmtId="2" fontId="1" fillId="2" borderId="6" xfId="0" applyNumberFormat="1" applyFont="1" applyFill="1" applyBorder="1" applyAlignment="1" applyProtection="1">
      <alignment horizontal="center" vertical="center"/>
      <protection hidden="1"/>
    </xf>
    <xf numFmtId="0" fontId="1" fillId="2" borderId="6" xfId="0" applyFont="1" applyFill="1" applyBorder="1" applyProtection="1">
      <protection hidden="1"/>
    </xf>
    <xf numFmtId="0" fontId="1" fillId="2" borderId="6" xfId="0" applyFont="1" applyFill="1" applyBorder="1" applyAlignment="1" applyProtection="1">
      <alignment horizontal="center" vertical="top" wrapText="1"/>
      <protection hidden="1"/>
    </xf>
    <xf numFmtId="0" fontId="0" fillId="2" borderId="6" xfId="0" applyFont="1" applyFill="1" applyBorder="1" applyProtection="1">
      <protection hidden="1"/>
    </xf>
    <xf numFmtId="0" fontId="7" fillId="3" borderId="5" xfId="0" applyFont="1" applyFill="1" applyBorder="1" applyAlignment="1" applyProtection="1">
      <alignment horizontal="left" vertical="center"/>
      <protection hidden="1"/>
    </xf>
    <xf numFmtId="0" fontId="7" fillId="3" borderId="5" xfId="0" applyFont="1" applyFill="1" applyBorder="1" applyAlignment="1" applyProtection="1">
      <alignment horizontal="center"/>
      <protection hidden="1"/>
    </xf>
    <xf numFmtId="0" fontId="7" fillId="3" borderId="13" xfId="0" applyFont="1" applyFill="1" applyBorder="1" applyAlignment="1" applyProtection="1">
      <alignment horizontal="left"/>
      <protection hidden="1"/>
    </xf>
    <xf numFmtId="0" fontId="7" fillId="3" borderId="1" xfId="0" applyFont="1" applyFill="1" applyBorder="1" applyAlignment="1" applyProtection="1">
      <alignment horizontal="left"/>
      <protection hidden="1"/>
    </xf>
    <xf numFmtId="0" fontId="7" fillId="3" borderId="14" xfId="0" applyFont="1" applyFill="1" applyBorder="1" applyAlignment="1" applyProtection="1">
      <alignment horizontal="left"/>
      <protection hidden="1"/>
    </xf>
    <xf numFmtId="49" fontId="0" fillId="4" borderId="2" xfId="0" applyNumberFormat="1" applyFont="1" applyFill="1" applyBorder="1" applyAlignment="1" applyProtection="1">
      <alignment horizontal="center" vertical="center"/>
      <protection hidden="1"/>
    </xf>
    <xf numFmtId="14" fontId="0" fillId="4" borderId="2" xfId="0" applyNumberFormat="1" applyFont="1" applyFill="1" applyBorder="1" applyAlignment="1" applyProtection="1">
      <alignment horizontal="center" vertical="center"/>
      <protection hidden="1"/>
    </xf>
    <xf numFmtId="49" fontId="1" fillId="2" borderId="2" xfId="0" applyNumberFormat="1" applyFont="1" applyFill="1" applyBorder="1" applyAlignment="1" applyProtection="1">
      <alignment horizontal="center" vertical="center"/>
      <protection hidden="1"/>
    </xf>
    <xf numFmtId="0" fontId="0" fillId="2" borderId="0" xfId="0" applyFont="1" applyFill="1" applyBorder="1" applyProtection="1">
      <protection hidden="1"/>
    </xf>
    <xf numFmtId="0" fontId="1" fillId="4" borderId="2" xfId="0" applyFont="1" applyFill="1" applyBorder="1" applyAlignment="1" applyProtection="1">
      <alignment vertical="center" wrapText="1"/>
      <protection locked="0"/>
    </xf>
    <xf numFmtId="0" fontId="0" fillId="0" borderId="1" xfId="0" applyFill="1" applyBorder="1" applyProtection="1"/>
    <xf numFmtId="0" fontId="1" fillId="0" borderId="2" xfId="0" applyFont="1" applyFill="1" applyBorder="1" applyAlignment="1" applyProtection="1">
      <alignment vertical="center" wrapText="1"/>
      <protection locked="0"/>
    </xf>
    <xf numFmtId="0" fontId="1" fillId="0" borderId="3" xfId="0" applyFont="1" applyFill="1" applyBorder="1" applyAlignment="1" applyProtection="1">
      <alignment vertical="center" wrapText="1"/>
      <protection locked="0"/>
    </xf>
    <xf numFmtId="0" fontId="1" fillId="0" borderId="15" xfId="0" applyFont="1" applyFill="1" applyBorder="1" applyAlignment="1" applyProtection="1">
      <alignment vertical="center" wrapText="1"/>
      <protection locked="0"/>
    </xf>
    <xf numFmtId="0" fontId="1" fillId="0" borderId="15" xfId="0" applyFont="1" applyFill="1" applyBorder="1" applyAlignment="1" applyProtection="1">
      <alignment horizontal="left" vertical="center" wrapText="1"/>
      <protection locked="0"/>
    </xf>
    <xf numFmtId="0" fontId="1" fillId="0" borderId="5" xfId="0" applyFont="1" applyFill="1" applyBorder="1" applyAlignment="1" applyProtection="1">
      <alignment vertical="center" wrapText="1"/>
      <protection locked="0"/>
    </xf>
    <xf numFmtId="0" fontId="0" fillId="0" borderId="2" xfId="0" applyFont="1" applyFill="1" applyBorder="1" applyProtection="1">
      <protection locked="0"/>
    </xf>
    <xf numFmtId="0" fontId="0" fillId="2" borderId="2" xfId="0" applyFont="1" applyFill="1" applyBorder="1" applyProtection="1">
      <protection locked="0"/>
    </xf>
    <xf numFmtId="0" fontId="0" fillId="2" borderId="0" xfId="0" applyFill="1" applyProtection="1"/>
    <xf numFmtId="0" fontId="0" fillId="4" borderId="1" xfId="0" applyFill="1" applyBorder="1" applyProtection="1"/>
    <xf numFmtId="0" fontId="0" fillId="2" borderId="0" xfId="0" applyFont="1" applyFill="1" applyProtection="1">
      <protection locked="0"/>
    </xf>
    <xf numFmtId="0" fontId="84" fillId="0" borderId="0" xfId="0" applyFont="1" applyProtection="1"/>
    <xf numFmtId="0" fontId="84" fillId="0" borderId="0" xfId="0" applyFont="1"/>
    <xf numFmtId="0" fontId="85" fillId="3" borderId="0" xfId="0" applyFont="1" applyFill="1" applyBorder="1" applyAlignment="1" applyProtection="1">
      <alignment vertical="center"/>
    </xf>
    <xf numFmtId="0" fontId="85" fillId="3" borderId="0" xfId="0" applyFont="1" applyFill="1" applyBorder="1" applyAlignment="1" applyProtection="1">
      <alignment vertical="top"/>
    </xf>
    <xf numFmtId="0" fontId="86" fillId="3" borderId="0" xfId="0" applyFont="1" applyFill="1" applyBorder="1" applyProtection="1"/>
    <xf numFmtId="1" fontId="85" fillId="3" borderId="0" xfId="0" applyNumberFormat="1" applyFont="1" applyFill="1" applyBorder="1" applyAlignment="1" applyProtection="1">
      <alignment vertical="top"/>
    </xf>
    <xf numFmtId="14" fontId="85" fillId="3" borderId="0" xfId="0" applyNumberFormat="1" applyFont="1" applyFill="1" applyBorder="1" applyAlignment="1" applyProtection="1">
      <alignment vertical="top"/>
    </xf>
    <xf numFmtId="0" fontId="84" fillId="0" borderId="0" xfId="0" applyFont="1" applyBorder="1"/>
    <xf numFmtId="0" fontId="84" fillId="0" borderId="0" xfId="0" applyFont="1" applyBorder="1" applyProtection="1"/>
    <xf numFmtId="0" fontId="87" fillId="0" borderId="0" xfId="0" applyFont="1" applyBorder="1" applyProtection="1"/>
    <xf numFmtId="0" fontId="88" fillId="0" borderId="0" xfId="0" applyFont="1" applyBorder="1" applyAlignment="1" applyProtection="1">
      <alignment horizontal="center"/>
    </xf>
    <xf numFmtId="0" fontId="32" fillId="0" borderId="0" xfId="0" applyFont="1" applyBorder="1" applyProtection="1"/>
    <xf numFmtId="0" fontId="19" fillId="3" borderId="0" xfId="0" applyFont="1" applyFill="1" applyBorder="1" applyAlignment="1" applyProtection="1">
      <alignment horizontal="right" vertical="top"/>
      <protection hidden="1"/>
    </xf>
    <xf numFmtId="0" fontId="82" fillId="3" borderId="1" xfId="0" applyFont="1" applyFill="1" applyBorder="1" applyAlignment="1" applyProtection="1">
      <alignment horizontal="right" vertical="top"/>
      <protection hidden="1"/>
    </xf>
    <xf numFmtId="0" fontId="21" fillId="3" borderId="79" xfId="0" applyFont="1" applyFill="1" applyBorder="1" applyAlignment="1" applyProtection="1">
      <alignment horizontal="right" vertical="top"/>
      <protection hidden="1"/>
    </xf>
    <xf numFmtId="0" fontId="89" fillId="3" borderId="0" xfId="0" applyFont="1" applyFill="1" applyBorder="1" applyAlignment="1" applyProtection="1">
      <alignment horizontal="right" vertical="top"/>
    </xf>
    <xf numFmtId="0" fontId="31" fillId="3" borderId="0" xfId="0" applyFont="1" applyFill="1" applyBorder="1" applyAlignment="1" applyProtection="1">
      <alignment horizontal="right" vertical="top" wrapText="1"/>
      <protection hidden="1"/>
    </xf>
    <xf numFmtId="0" fontId="19" fillId="3" borderId="1" xfId="0" applyFont="1" applyFill="1" applyBorder="1" applyAlignment="1" applyProtection="1">
      <alignment horizontal="right" vertical="top" wrapText="1"/>
    </xf>
    <xf numFmtId="0" fontId="44" fillId="2" borderId="1" xfId="0" applyFont="1" applyFill="1" applyBorder="1" applyAlignment="1" applyProtection="1">
      <alignment wrapText="1"/>
    </xf>
    <xf numFmtId="0" fontId="44" fillId="2" borderId="41" xfId="0" applyFont="1" applyFill="1" applyBorder="1" applyAlignment="1" applyProtection="1">
      <alignment wrapText="1"/>
    </xf>
    <xf numFmtId="0" fontId="26" fillId="4" borderId="50" xfId="0" applyFont="1" applyFill="1" applyBorder="1" applyAlignment="1" applyProtection="1">
      <alignment horizontal="left" vertical="center" wrapText="1"/>
      <protection locked="0"/>
    </xf>
    <xf numFmtId="0" fontId="26" fillId="5" borderId="136"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58" fillId="0" borderId="5" xfId="0" applyFont="1" applyBorder="1"/>
    <xf numFmtId="0" fontId="0" fillId="0" borderId="22" xfId="0" applyBorder="1"/>
    <xf numFmtId="0" fontId="23" fillId="10" borderId="2" xfId="0" applyFont="1" applyFill="1" applyBorder="1"/>
    <xf numFmtId="0" fontId="23" fillId="6" borderId="48" xfId="0" applyFont="1" applyFill="1" applyBorder="1" applyAlignment="1" applyProtection="1">
      <alignment horizontal="center" vertical="center"/>
      <protection locked="0"/>
    </xf>
    <xf numFmtId="0" fontId="0" fillId="8" borderId="0" xfId="0" applyFont="1" applyFill="1" applyBorder="1" applyProtection="1">
      <protection hidden="1"/>
    </xf>
    <xf numFmtId="0" fontId="0" fillId="12" borderId="2" xfId="0" applyFill="1" applyBorder="1" applyProtection="1">
      <protection hidden="1"/>
    </xf>
    <xf numFmtId="0" fontId="23" fillId="10" borderId="0" xfId="0" applyFont="1" applyFill="1" applyBorder="1"/>
    <xf numFmtId="0" fontId="0" fillId="0" borderId="0" xfId="0" applyBorder="1"/>
    <xf numFmtId="0" fontId="0" fillId="18" borderId="2" xfId="0" applyFill="1" applyBorder="1" applyProtection="1">
      <protection hidden="1"/>
    </xf>
    <xf numFmtId="0" fontId="3" fillId="12" borderId="2" xfId="0" applyFont="1" applyFill="1" applyBorder="1" applyProtection="1">
      <protection hidden="1"/>
    </xf>
    <xf numFmtId="0" fontId="0" fillId="18" borderId="0" xfId="0" applyFill="1"/>
    <xf numFmtId="0" fontId="0" fillId="12" borderId="0" xfId="0" applyFill="1"/>
    <xf numFmtId="0" fontId="0" fillId="2" borderId="5" xfId="0" applyFill="1" applyBorder="1" applyProtection="1">
      <protection hidden="1"/>
    </xf>
    <xf numFmtId="0" fontId="0" fillId="2" borderId="59" xfId="0" applyFill="1" applyBorder="1" applyProtection="1">
      <protection hidden="1"/>
    </xf>
    <xf numFmtId="0" fontId="42" fillId="0" borderId="2" xfId="0" applyFont="1" applyBorder="1" applyProtection="1"/>
    <xf numFmtId="0" fontId="90" fillId="10" borderId="64" xfId="0" applyFont="1" applyFill="1" applyBorder="1" applyProtection="1"/>
    <xf numFmtId="0" fontId="0" fillId="2" borderId="54" xfId="0" applyFill="1" applyBorder="1" applyProtection="1">
      <protection hidden="1"/>
    </xf>
    <xf numFmtId="0" fontId="0" fillId="2" borderId="3" xfId="0" applyFill="1" applyBorder="1" applyProtection="1">
      <protection hidden="1"/>
    </xf>
    <xf numFmtId="0" fontId="42" fillId="0" borderId="5" xfId="0" applyFont="1" applyBorder="1" applyProtection="1"/>
    <xf numFmtId="0" fontId="42" fillId="0" borderId="3" xfId="0" applyFont="1" applyBorder="1" applyProtection="1"/>
    <xf numFmtId="0" fontId="42" fillId="0" borderId="54" xfId="0" applyFont="1" applyBorder="1" applyProtection="1"/>
    <xf numFmtId="0" fontId="0" fillId="0" borderId="80" xfId="0" applyBorder="1" applyProtection="1"/>
    <xf numFmtId="0" fontId="0" fillId="2" borderId="81" xfId="0" applyFill="1" applyBorder="1" applyProtection="1">
      <protection hidden="1"/>
    </xf>
    <xf numFmtId="0" fontId="32" fillId="9" borderId="54" xfId="0" applyFont="1" applyFill="1" applyBorder="1" applyProtection="1"/>
    <xf numFmtId="0" fontId="24" fillId="0" borderId="0" xfId="0" applyFont="1" applyProtection="1"/>
    <xf numFmtId="0" fontId="91" fillId="3" borderId="0" xfId="0" applyFont="1" applyFill="1" applyAlignment="1" applyProtection="1">
      <alignment horizontal="center"/>
      <protection hidden="1"/>
    </xf>
    <xf numFmtId="0" fontId="91" fillId="3" borderId="0" xfId="0" applyFont="1" applyFill="1" applyAlignment="1" applyProtection="1">
      <alignment horizontal="left"/>
      <protection hidden="1"/>
    </xf>
    <xf numFmtId="0" fontId="0" fillId="12" borderId="7" xfId="0" applyFill="1" applyBorder="1" applyProtection="1">
      <protection hidden="1"/>
    </xf>
    <xf numFmtId="0" fontId="0" fillId="2" borderId="7" xfId="0" applyFill="1" applyBorder="1" applyProtection="1">
      <protection hidden="1"/>
    </xf>
    <xf numFmtId="0" fontId="0" fillId="20" borderId="5" xfId="0" applyFill="1" applyBorder="1" applyProtection="1"/>
    <xf numFmtId="0" fontId="0" fillId="20" borderId="0" xfId="0" applyFill="1" applyProtection="1"/>
    <xf numFmtId="0" fontId="0" fillId="8" borderId="5" xfId="0" applyFill="1" applyBorder="1" applyProtection="1"/>
    <xf numFmtId="0" fontId="44" fillId="2" borderId="1" xfId="0" applyFont="1" applyFill="1" applyBorder="1" applyAlignment="1" applyProtection="1">
      <alignment horizontal="center" wrapText="1"/>
    </xf>
    <xf numFmtId="0" fontId="0" fillId="0" borderId="5" xfId="0" applyFont="1" applyBorder="1" applyProtection="1"/>
    <xf numFmtId="0" fontId="0" fillId="0" borderId="2" xfId="0" applyFont="1" applyBorder="1" applyProtection="1"/>
    <xf numFmtId="0" fontId="23" fillId="10" borderId="21" xfId="0" applyFont="1" applyFill="1" applyBorder="1" applyProtection="1"/>
    <xf numFmtId="0" fontId="23" fillId="10" borderId="68" xfId="0" applyFont="1" applyFill="1" applyBorder="1" applyProtection="1"/>
    <xf numFmtId="0" fontId="0" fillId="21" borderId="0" xfId="0" applyFill="1" applyProtection="1"/>
    <xf numFmtId="0" fontId="0" fillId="8" borderId="0" xfId="0" applyFill="1" applyProtection="1"/>
    <xf numFmtId="0" fontId="23" fillId="10" borderId="2" xfId="0" applyFont="1" applyFill="1" applyBorder="1" applyAlignment="1" applyProtection="1">
      <alignment wrapText="1"/>
    </xf>
    <xf numFmtId="0" fontId="52" fillId="4" borderId="50" xfId="0" applyFont="1" applyFill="1" applyBorder="1" applyAlignment="1" applyProtection="1">
      <alignment horizontal="left" vertical="center" wrapText="1"/>
      <protection locked="0"/>
    </xf>
    <xf numFmtId="0" fontId="92" fillId="4" borderId="50" xfId="0" applyFont="1" applyFill="1" applyBorder="1" applyAlignment="1" applyProtection="1">
      <alignment horizontal="left" vertical="center" wrapText="1"/>
      <protection locked="0"/>
    </xf>
    <xf numFmtId="0" fontId="44" fillId="2" borderId="48" xfId="0" applyFont="1" applyFill="1" applyBorder="1" applyAlignment="1" applyProtection="1">
      <alignment horizontal="center" vertical="top" wrapText="1"/>
    </xf>
    <xf numFmtId="0" fontId="23" fillId="10" borderId="0" xfId="0" applyFont="1" applyFill="1" applyAlignment="1" applyProtection="1">
      <alignment wrapText="1"/>
    </xf>
    <xf numFmtId="1" fontId="0" fillId="0" borderId="56" xfId="0" applyNumberFormat="1" applyFill="1" applyBorder="1" applyAlignment="1" applyProtection="1">
      <alignment horizontal="right"/>
    </xf>
    <xf numFmtId="0" fontId="56" fillId="2" borderId="5" xfId="0" applyFont="1" applyFill="1" applyBorder="1" applyAlignment="1" applyProtection="1">
      <alignment horizontal="center"/>
      <protection hidden="1"/>
    </xf>
    <xf numFmtId="0" fontId="0" fillId="4" borderId="15" xfId="0" applyFill="1" applyBorder="1" applyAlignment="1" applyProtection="1">
      <alignment horizontal="center" vertical="top"/>
      <protection hidden="1"/>
    </xf>
    <xf numFmtId="0" fontId="1" fillId="0" borderId="15" xfId="0" applyFont="1" applyFill="1" applyBorder="1" applyAlignment="1" applyProtection="1">
      <alignment horizontal="left" vertical="center"/>
      <protection hidden="1"/>
    </xf>
    <xf numFmtId="164" fontId="9" fillId="0" borderId="15" xfId="2" applyNumberFormat="1" applyFont="1" applyFill="1" applyBorder="1" applyAlignment="1" applyProtection="1">
      <alignment horizontal="left" vertical="center"/>
      <protection hidden="1"/>
    </xf>
    <xf numFmtId="0" fontId="1" fillId="0" borderId="5" xfId="0" applyFont="1" applyFill="1" applyBorder="1" applyAlignment="1" applyProtection="1">
      <alignment vertical="center"/>
      <protection hidden="1"/>
    </xf>
    <xf numFmtId="0" fontId="0" fillId="5" borderId="15" xfId="0" applyFont="1" applyFill="1" applyBorder="1" applyAlignment="1" applyProtection="1">
      <protection hidden="1"/>
    </xf>
    <xf numFmtId="0" fontId="0" fillId="5" borderId="5" xfId="0" applyFont="1" applyFill="1" applyBorder="1" applyAlignment="1" applyProtection="1">
      <protection hidden="1"/>
    </xf>
    <xf numFmtId="0" fontId="0" fillId="0" borderId="12" xfId="0" applyFont="1" applyFill="1" applyBorder="1" applyAlignment="1" applyProtection="1">
      <alignment horizontal="center" vertical="top" wrapText="1"/>
      <protection hidden="1"/>
    </xf>
    <xf numFmtId="0" fontId="23" fillId="0" borderId="0" xfId="0" applyFont="1" applyFill="1" applyBorder="1" applyAlignment="1" applyProtection="1">
      <alignment horizontal="left" vertical="center"/>
      <protection hidden="1"/>
    </xf>
    <xf numFmtId="0" fontId="23" fillId="5" borderId="12" xfId="0" applyFont="1" applyFill="1" applyBorder="1" applyAlignment="1" applyProtection="1">
      <alignment horizontal="left" vertical="center" wrapText="1"/>
      <protection hidden="1"/>
    </xf>
    <xf numFmtId="0" fontId="29" fillId="2" borderId="135" xfId="0" applyFont="1" applyFill="1" applyBorder="1" applyAlignment="1" applyProtection="1">
      <alignment horizontal="center" vertical="top" wrapText="1"/>
    </xf>
    <xf numFmtId="0" fontId="0" fillId="4" borderId="0" xfId="0" applyFill="1" applyBorder="1" applyAlignment="1" applyProtection="1">
      <alignment wrapText="1"/>
      <protection locked="0"/>
    </xf>
    <xf numFmtId="0" fontId="0" fillId="18" borderId="2" xfId="0" applyFill="1" applyBorder="1" applyProtection="1"/>
    <xf numFmtId="0" fontId="0" fillId="18" borderId="56" xfId="0" applyFill="1" applyBorder="1" applyProtection="1"/>
    <xf numFmtId="0" fontId="24" fillId="18" borderId="2" xfId="0" applyFont="1" applyFill="1" applyBorder="1" applyProtection="1"/>
    <xf numFmtId="0" fontId="0" fillId="18" borderId="66" xfId="0" applyFill="1" applyBorder="1" applyProtection="1"/>
    <xf numFmtId="0" fontId="0" fillId="18" borderId="3" xfId="0" applyFill="1" applyBorder="1" applyProtection="1"/>
    <xf numFmtId="0" fontId="0" fillId="18" borderId="85" xfId="0" applyFill="1" applyBorder="1" applyProtection="1"/>
    <xf numFmtId="0" fontId="0" fillId="18" borderId="15" xfId="0" applyFill="1" applyBorder="1" applyProtection="1"/>
    <xf numFmtId="0" fontId="24" fillId="0" borderId="15" xfId="0" applyFont="1" applyFill="1" applyBorder="1" applyProtection="1"/>
    <xf numFmtId="0" fontId="0" fillId="0" borderId="61" xfId="0" applyFill="1" applyBorder="1" applyProtection="1"/>
    <xf numFmtId="0" fontId="0" fillId="0" borderId="5" xfId="0" applyFill="1" applyBorder="1" applyProtection="1"/>
    <xf numFmtId="0" fontId="32" fillId="13" borderId="84" xfId="0" applyFont="1" applyFill="1" applyBorder="1" applyProtection="1"/>
    <xf numFmtId="0" fontId="32" fillId="13" borderId="116" xfId="0" applyFont="1" applyFill="1" applyBorder="1" applyProtection="1"/>
    <xf numFmtId="0" fontId="0" fillId="5" borderId="138" xfId="0" applyFont="1" applyFill="1" applyBorder="1" applyAlignment="1" applyProtection="1">
      <alignment horizontal="left" vertical="center"/>
    </xf>
    <xf numFmtId="0" fontId="26" fillId="5" borderId="139" xfId="0" applyFont="1" applyFill="1" applyBorder="1" applyAlignment="1" applyProtection="1">
      <alignment horizontal="center" vertical="center"/>
    </xf>
    <xf numFmtId="0" fontId="26" fillId="4" borderId="137" xfId="0" applyFont="1" applyFill="1" applyBorder="1" applyAlignment="1" applyProtection="1">
      <alignment horizontal="left" vertical="center" wrapText="1"/>
      <protection locked="0"/>
    </xf>
    <xf numFmtId="0" fontId="26" fillId="4" borderId="135" xfId="0" applyFont="1" applyFill="1" applyBorder="1" applyAlignment="1" applyProtection="1">
      <alignment horizontal="left" vertical="center" wrapText="1"/>
      <protection locked="0"/>
    </xf>
    <xf numFmtId="0" fontId="0" fillId="0" borderId="55" xfId="0" applyFill="1" applyBorder="1" applyProtection="1"/>
    <xf numFmtId="0" fontId="0" fillId="0" borderId="57" xfId="0" applyFill="1" applyBorder="1" applyProtection="1"/>
    <xf numFmtId="0" fontId="0" fillId="0" borderId="60" xfId="0" applyFill="1" applyBorder="1" applyProtection="1"/>
    <xf numFmtId="0" fontId="0" fillId="8" borderId="58" xfId="0" applyFill="1" applyBorder="1" applyProtection="1"/>
    <xf numFmtId="0" fontId="26" fillId="18" borderId="2" xfId="0" applyFont="1" applyFill="1" applyBorder="1" applyAlignment="1" applyProtection="1">
      <alignment horizontal="center" vertical="center"/>
    </xf>
    <xf numFmtId="1" fontId="0" fillId="18" borderId="55" xfId="0" applyNumberFormat="1" applyFill="1" applyBorder="1" applyProtection="1"/>
    <xf numFmtId="1" fontId="0" fillId="18" borderId="57" xfId="0" applyNumberFormat="1" applyFill="1" applyBorder="1" applyProtection="1"/>
    <xf numFmtId="1" fontId="0" fillId="18" borderId="60" xfId="0" applyNumberFormat="1" applyFill="1" applyBorder="1" applyProtection="1"/>
    <xf numFmtId="0" fontId="93" fillId="2" borderId="1" xfId="0" applyFont="1" applyFill="1" applyBorder="1" applyProtection="1">
      <protection hidden="1"/>
    </xf>
    <xf numFmtId="0" fontId="31" fillId="3" borderId="0" xfId="0" applyFont="1" applyFill="1" applyBorder="1" applyAlignment="1" applyProtection="1">
      <alignment vertical="center"/>
    </xf>
    <xf numFmtId="0" fontId="19" fillId="3" borderId="0" xfId="0" applyFont="1" applyFill="1" applyBorder="1" applyAlignment="1" applyProtection="1">
      <alignment horizontal="left" vertical="top"/>
      <protection hidden="1"/>
    </xf>
    <xf numFmtId="0" fontId="0" fillId="12" borderId="0" xfId="0" applyFill="1" applyBorder="1" applyProtection="1">
      <protection hidden="1"/>
    </xf>
    <xf numFmtId="0" fontId="0" fillId="8" borderId="66" xfId="0" applyFill="1" applyBorder="1" applyProtection="1"/>
    <xf numFmtId="0" fontId="0" fillId="12" borderId="85" xfId="0" applyFill="1" applyBorder="1" applyProtection="1"/>
    <xf numFmtId="0" fontId="32" fillId="0" borderId="2" xfId="0" applyFont="1" applyFill="1" applyBorder="1" applyProtection="1">
      <protection hidden="1"/>
    </xf>
    <xf numFmtId="0" fontId="0" fillId="0" borderId="66" xfId="0" applyFill="1" applyBorder="1" applyProtection="1"/>
    <xf numFmtId="0" fontId="0" fillId="8" borderId="53" xfId="0" applyFill="1" applyBorder="1" applyProtection="1"/>
    <xf numFmtId="0" fontId="0" fillId="0" borderId="3" xfId="0" applyFill="1" applyBorder="1" applyProtection="1"/>
    <xf numFmtId="0" fontId="26" fillId="4" borderId="7" xfId="0" applyFont="1" applyFill="1" applyBorder="1" applyAlignment="1" applyProtection="1">
      <alignment horizontal="center" vertical="center" wrapText="1"/>
      <protection locked="0"/>
    </xf>
    <xf numFmtId="0" fontId="82" fillId="4" borderId="0" xfId="0" applyFont="1" applyFill="1" applyBorder="1" applyAlignment="1" applyProtection="1">
      <alignment vertical="top" wrapText="1"/>
      <protection hidden="1"/>
    </xf>
    <xf numFmtId="0" fontId="23" fillId="2" borderId="0" xfId="0" applyFont="1" applyFill="1" applyBorder="1" applyProtection="1">
      <protection hidden="1"/>
    </xf>
    <xf numFmtId="0" fontId="96" fillId="2" borderId="0" xfId="0" applyFont="1" applyFill="1" applyBorder="1" applyAlignment="1" applyProtection="1">
      <alignment horizontal="left" wrapText="1"/>
      <protection locked="0" hidden="1"/>
    </xf>
    <xf numFmtId="0" fontId="26" fillId="4" borderId="36" xfId="0" applyFont="1" applyFill="1" applyBorder="1" applyAlignment="1" applyProtection="1">
      <alignment horizontal="left" vertical="top" wrapText="1"/>
      <protection locked="0"/>
    </xf>
    <xf numFmtId="0" fontId="49" fillId="2" borderId="41" xfId="0" applyFont="1" applyFill="1" applyBorder="1" applyAlignment="1" applyProtection="1">
      <alignment horizontal="center" vertical="top" wrapText="1"/>
    </xf>
    <xf numFmtId="0" fontId="0" fillId="4" borderId="40" xfId="0" applyFill="1" applyBorder="1" applyAlignment="1" applyProtection="1">
      <alignment vertical="top" wrapText="1"/>
    </xf>
    <xf numFmtId="0" fontId="23" fillId="6" borderId="48" xfId="0" applyFont="1" applyFill="1" applyBorder="1" applyAlignment="1" applyProtection="1">
      <alignment horizontal="left" vertical="top" wrapText="1"/>
      <protection locked="0"/>
    </xf>
    <xf numFmtId="0" fontId="23" fillId="6" borderId="1" xfId="0" applyFont="1" applyFill="1" applyBorder="1" applyAlignment="1" applyProtection="1">
      <alignment horizontal="left" vertical="top" wrapText="1"/>
      <protection locked="0"/>
    </xf>
    <xf numFmtId="0" fontId="23" fillId="6" borderId="41" xfId="0" applyFont="1" applyFill="1" applyBorder="1" applyAlignment="1" applyProtection="1">
      <alignment horizontal="left" vertical="top" wrapText="1"/>
      <protection locked="0"/>
    </xf>
    <xf numFmtId="0" fontId="26" fillId="4" borderId="4" xfId="0" applyFont="1" applyFill="1" applyBorder="1" applyAlignment="1" applyProtection="1">
      <alignment horizontal="left" vertical="top" wrapText="1"/>
      <protection locked="0"/>
    </xf>
    <xf numFmtId="0" fontId="26" fillId="4" borderId="2" xfId="0" applyFont="1" applyFill="1" applyBorder="1" applyAlignment="1" applyProtection="1">
      <alignment horizontal="left" vertical="top" wrapText="1"/>
      <protection locked="0"/>
    </xf>
    <xf numFmtId="0" fontId="26" fillId="5" borderId="95" xfId="0" applyFont="1" applyFill="1" applyBorder="1" applyAlignment="1" applyProtection="1">
      <alignment horizontal="left" vertical="top" wrapText="1"/>
      <protection locked="0"/>
    </xf>
    <xf numFmtId="0" fontId="26" fillId="5" borderId="94" xfId="0" applyFont="1" applyFill="1" applyBorder="1" applyAlignment="1" applyProtection="1">
      <alignment horizontal="left" vertical="top" wrapText="1"/>
      <protection locked="0"/>
    </xf>
    <xf numFmtId="0" fontId="26" fillId="5" borderId="94" xfId="0" applyFont="1" applyFill="1" applyBorder="1" applyAlignment="1" applyProtection="1">
      <alignment horizontal="center" vertical="top" wrapText="1"/>
      <protection locked="0"/>
    </xf>
    <xf numFmtId="0" fontId="0" fillId="2" borderId="0" xfId="0" applyFill="1" applyBorder="1" applyAlignment="1" applyProtection="1">
      <alignment horizontal="left" vertical="top" wrapText="1"/>
      <protection locked="0"/>
    </xf>
    <xf numFmtId="0" fontId="0" fillId="2" borderId="0" xfId="0" applyFill="1" applyBorder="1" applyAlignment="1" applyProtection="1">
      <alignment vertical="top" wrapText="1"/>
      <protection locked="0"/>
    </xf>
    <xf numFmtId="0" fontId="23" fillId="6" borderId="1" xfId="0" applyFont="1" applyFill="1" applyBorder="1" applyAlignment="1" applyProtection="1">
      <alignment vertical="top" wrapText="1"/>
      <protection locked="0"/>
    </xf>
    <xf numFmtId="0" fontId="23" fillId="6" borderId="49" xfId="0" applyFont="1" applyFill="1" applyBorder="1" applyAlignment="1" applyProtection="1">
      <alignment horizontal="left" vertical="top" wrapText="1"/>
      <protection locked="0"/>
    </xf>
    <xf numFmtId="0" fontId="23" fillId="6" borderId="45" xfId="0" applyFont="1" applyFill="1" applyBorder="1" applyAlignment="1" applyProtection="1">
      <alignment horizontal="left" vertical="top" wrapText="1"/>
      <protection locked="0"/>
    </xf>
    <xf numFmtId="0" fontId="23" fillId="6" borderId="45" xfId="0" applyFont="1" applyFill="1" applyBorder="1" applyAlignment="1" applyProtection="1">
      <alignment vertical="top" wrapText="1"/>
      <protection locked="0"/>
    </xf>
    <xf numFmtId="0" fontId="23" fillId="6" borderId="39" xfId="0" applyFont="1" applyFill="1" applyBorder="1" applyAlignment="1" applyProtection="1">
      <alignment horizontal="left" vertical="top" wrapText="1"/>
      <protection locked="0"/>
    </xf>
    <xf numFmtId="0" fontId="26" fillId="5" borderId="92" xfId="0" applyFont="1" applyFill="1" applyBorder="1" applyAlignment="1" applyProtection="1">
      <alignment horizontal="center" vertical="top" wrapText="1"/>
      <protection locked="0"/>
    </xf>
    <xf numFmtId="0" fontId="0" fillId="2" borderId="0" xfId="0" applyFill="1" applyBorder="1" applyAlignment="1" applyProtection="1">
      <alignment vertical="top" wrapText="1"/>
      <protection hidden="1"/>
    </xf>
    <xf numFmtId="0" fontId="0" fillId="2" borderId="0" xfId="0" applyFill="1" applyAlignment="1" applyProtection="1">
      <alignment vertical="top" wrapText="1"/>
      <protection hidden="1"/>
    </xf>
    <xf numFmtId="0" fontId="23" fillId="4" borderId="0" xfId="0" applyFont="1" applyFill="1" applyAlignment="1" applyProtection="1">
      <alignment horizontal="right" vertical="top" wrapText="1"/>
      <protection hidden="1"/>
    </xf>
    <xf numFmtId="0" fontId="0" fillId="4" borderId="0" xfId="0" applyFill="1" applyAlignment="1" applyProtection="1">
      <alignment vertical="top" wrapText="1"/>
      <protection hidden="1"/>
    </xf>
    <xf numFmtId="0" fontId="0" fillId="2" borderId="0" xfId="0" applyFill="1" applyAlignment="1" applyProtection="1">
      <alignment vertical="top" wrapText="1"/>
      <protection locked="0" hidden="1"/>
    </xf>
    <xf numFmtId="0" fontId="12" fillId="2" borderId="0" xfId="0" applyFont="1" applyFill="1" applyAlignment="1" applyProtection="1">
      <alignment horizontal="center" vertical="top" wrapText="1"/>
      <protection locked="0" hidden="1"/>
    </xf>
    <xf numFmtId="0" fontId="0" fillId="0" borderId="0" xfId="0" applyAlignment="1" applyProtection="1">
      <alignment wrapText="1"/>
    </xf>
    <xf numFmtId="0" fontId="32" fillId="0" borderId="0" xfId="0" applyFont="1" applyAlignment="1" applyProtection="1">
      <alignment wrapText="1"/>
    </xf>
    <xf numFmtId="1" fontId="0" fillId="0" borderId="0" xfId="0" applyNumberFormat="1" applyAlignment="1" applyProtection="1">
      <alignment wrapText="1"/>
    </xf>
    <xf numFmtId="14" fontId="0" fillId="0" borderId="0" xfId="0" applyNumberFormat="1" applyAlignment="1" applyProtection="1">
      <alignment wrapText="1"/>
    </xf>
    <xf numFmtId="0" fontId="94" fillId="12" borderId="2" xfId="0" applyFont="1" applyFill="1" applyBorder="1" applyAlignment="1" applyProtection="1">
      <alignment wrapText="1"/>
    </xf>
    <xf numFmtId="0" fontId="94" fillId="12" borderId="57" xfId="0" applyFont="1" applyFill="1" applyBorder="1" applyAlignment="1" applyProtection="1">
      <alignment wrapText="1"/>
    </xf>
    <xf numFmtId="0" fontId="0" fillId="12" borderId="2" xfId="0" applyFill="1" applyBorder="1" applyAlignment="1" applyProtection="1">
      <alignment wrapText="1"/>
    </xf>
    <xf numFmtId="0" fontId="0" fillId="12" borderId="57" xfId="0" applyFill="1" applyBorder="1" applyAlignment="1" applyProtection="1">
      <alignment wrapText="1"/>
    </xf>
    <xf numFmtId="0" fontId="0" fillId="12" borderId="3" xfId="0" applyFill="1" applyBorder="1" applyAlignment="1" applyProtection="1">
      <alignment wrapText="1"/>
    </xf>
    <xf numFmtId="0" fontId="0" fillId="12" borderId="67" xfId="0" applyFill="1" applyBorder="1" applyAlignment="1" applyProtection="1">
      <alignment wrapText="1"/>
    </xf>
    <xf numFmtId="0" fontId="32" fillId="13" borderId="64" xfId="0" applyFont="1" applyFill="1" applyBorder="1" applyAlignment="1" applyProtection="1">
      <alignment wrapText="1"/>
    </xf>
    <xf numFmtId="0" fontId="32" fillId="13" borderId="84" xfId="0" applyFont="1" applyFill="1" applyBorder="1" applyAlignment="1" applyProtection="1">
      <alignment wrapText="1"/>
    </xf>
    <xf numFmtId="0" fontId="0" fillId="12" borderId="2" xfId="0" applyFont="1" applyFill="1" applyBorder="1" applyAlignment="1" applyProtection="1">
      <alignment wrapText="1"/>
    </xf>
    <xf numFmtId="0" fontId="0" fillId="12" borderId="54" xfId="0" applyFill="1" applyBorder="1" applyAlignment="1" applyProtection="1">
      <alignment wrapText="1"/>
    </xf>
    <xf numFmtId="0" fontId="0" fillId="12" borderId="55" xfId="0" applyFill="1" applyBorder="1" applyAlignment="1" applyProtection="1">
      <alignment wrapText="1"/>
    </xf>
    <xf numFmtId="0" fontId="0" fillId="12" borderId="59" xfId="0" applyFill="1" applyBorder="1" applyAlignment="1" applyProtection="1">
      <alignment wrapText="1"/>
    </xf>
    <xf numFmtId="0" fontId="0" fillId="12" borderId="60" xfId="0" applyFill="1" applyBorder="1" applyAlignment="1" applyProtection="1">
      <alignment wrapText="1"/>
    </xf>
    <xf numFmtId="0" fontId="24" fillId="0" borderId="0" xfId="0" applyFont="1" applyAlignment="1" applyProtection="1">
      <alignment wrapText="1"/>
    </xf>
    <xf numFmtId="0" fontId="23" fillId="10" borderId="64" xfId="0" applyFont="1" applyFill="1" applyBorder="1" applyAlignment="1" applyProtection="1">
      <alignment wrapText="1"/>
    </xf>
    <xf numFmtId="0" fontId="23" fillId="10" borderId="65" xfId="0" applyFont="1" applyFill="1" applyBorder="1" applyAlignment="1" applyProtection="1">
      <alignment wrapText="1"/>
    </xf>
    <xf numFmtId="0" fontId="0" fillId="0" borderId="5" xfId="0" applyBorder="1" applyAlignment="1" applyProtection="1">
      <alignment wrapText="1"/>
    </xf>
    <xf numFmtId="0" fontId="0" fillId="0" borderId="62" xfId="0" applyBorder="1" applyAlignment="1" applyProtection="1">
      <alignment wrapText="1"/>
    </xf>
    <xf numFmtId="0" fontId="0" fillId="0" borderId="2" xfId="0" applyBorder="1" applyAlignment="1" applyProtection="1">
      <alignment wrapText="1"/>
    </xf>
    <xf numFmtId="0" fontId="0" fillId="0" borderId="57" xfId="0" applyBorder="1" applyAlignment="1" applyProtection="1">
      <alignment wrapText="1"/>
    </xf>
    <xf numFmtId="0" fontId="0" fillId="0" borderId="59" xfId="0" applyBorder="1" applyAlignment="1" applyProtection="1">
      <alignment wrapText="1"/>
    </xf>
    <xf numFmtId="0" fontId="0" fillId="0" borderId="60" xfId="0" applyBorder="1" applyAlignment="1" applyProtection="1">
      <alignment wrapText="1"/>
    </xf>
    <xf numFmtId="0" fontId="0" fillId="0" borderId="3" xfId="0" applyBorder="1" applyAlignment="1" applyProtection="1">
      <alignment wrapText="1"/>
    </xf>
    <xf numFmtId="0" fontId="0" fillId="0" borderId="67" xfId="0" applyBorder="1" applyAlignment="1" applyProtection="1">
      <alignment wrapText="1"/>
    </xf>
    <xf numFmtId="0" fontId="0" fillId="0" borderId="54" xfId="0" applyBorder="1" applyAlignment="1" applyProtection="1">
      <alignment wrapText="1"/>
    </xf>
    <xf numFmtId="0" fontId="0" fillId="0" borderId="55" xfId="0" applyBorder="1" applyAlignment="1" applyProtection="1">
      <alignment wrapText="1"/>
    </xf>
    <xf numFmtId="0" fontId="0" fillId="0" borderId="81" xfId="0" applyBorder="1" applyAlignment="1" applyProtection="1">
      <alignment wrapText="1"/>
    </xf>
    <xf numFmtId="0" fontId="0" fillId="0" borderId="23" xfId="0" applyBorder="1" applyAlignment="1" applyProtection="1">
      <alignment wrapText="1"/>
    </xf>
    <xf numFmtId="0" fontId="24" fillId="0" borderId="0" xfId="0" applyFont="1" applyAlignment="1" applyProtection="1">
      <alignment vertical="top" wrapText="1"/>
    </xf>
    <xf numFmtId="0" fontId="26" fillId="0" borderId="36" xfId="0" applyFont="1" applyFill="1" applyBorder="1" applyAlignment="1" applyProtection="1">
      <alignment horizontal="left" vertical="top" wrapText="1"/>
      <protection locked="0"/>
    </xf>
    <xf numFmtId="164" fontId="65" fillId="5" borderId="25" xfId="2" applyNumberFormat="1" applyFont="1" applyFill="1" applyBorder="1" applyAlignment="1" applyProtection="1">
      <alignment horizontal="center" vertical="center"/>
      <protection hidden="1"/>
    </xf>
    <xf numFmtId="164" fontId="65" fillId="5" borderId="113" xfId="2" applyNumberFormat="1" applyFont="1" applyFill="1" applyBorder="1" applyAlignment="1" applyProtection="1">
      <alignment horizontal="center" vertical="center"/>
      <protection hidden="1"/>
    </xf>
    <xf numFmtId="164" fontId="65" fillId="5" borderId="30" xfId="2" applyNumberFormat="1" applyFont="1" applyFill="1" applyBorder="1" applyAlignment="1" applyProtection="1">
      <alignment horizontal="center" vertical="center"/>
      <protection hidden="1"/>
    </xf>
    <xf numFmtId="0" fontId="44" fillId="2" borderId="1" xfId="0" applyFont="1" applyFill="1" applyBorder="1" applyAlignment="1" applyProtection="1">
      <alignment horizontal="center" wrapText="1"/>
    </xf>
    <xf numFmtId="0" fontId="44" fillId="2" borderId="51" xfId="0" applyFont="1" applyFill="1" applyBorder="1" applyAlignment="1" applyProtection="1">
      <alignment horizontal="center" vertical="top" wrapText="1"/>
    </xf>
    <xf numFmtId="0" fontId="7" fillId="3" borderId="45" xfId="0" applyFont="1" applyFill="1" applyBorder="1" applyAlignment="1" applyProtection="1">
      <alignment horizontal="left" vertical="top" wrapText="1"/>
    </xf>
    <xf numFmtId="0" fontId="1" fillId="5" borderId="38" xfId="0" applyFont="1" applyFill="1" applyBorder="1" applyAlignment="1" applyProtection="1">
      <alignment horizontal="left" vertical="top" wrapText="1"/>
    </xf>
    <xf numFmtId="0" fontId="7" fillId="3" borderId="45" xfId="0" applyFont="1" applyFill="1" applyBorder="1" applyAlignment="1" applyProtection="1">
      <alignment horizontal="left" vertical="center" wrapText="1"/>
    </xf>
    <xf numFmtId="0" fontId="7" fillId="3" borderId="27" xfId="0" applyFont="1" applyFill="1" applyBorder="1" applyAlignment="1" applyProtection="1">
      <alignment horizontal="left" vertical="top" wrapText="1"/>
    </xf>
    <xf numFmtId="164" fontId="9" fillId="5" borderId="37" xfId="2" applyNumberFormat="1" applyFont="1" applyFill="1" applyBorder="1" applyAlignment="1" applyProtection="1">
      <alignment horizontal="left" vertical="top" wrapText="1"/>
    </xf>
    <xf numFmtId="0" fontId="7" fillId="3" borderId="27" xfId="0" applyFont="1" applyFill="1" applyBorder="1" applyAlignment="1" applyProtection="1">
      <alignment horizontal="left" vertical="center" wrapText="1"/>
    </xf>
    <xf numFmtId="0" fontId="1" fillId="5" borderId="37" xfId="0" applyFont="1" applyFill="1" applyBorder="1" applyAlignment="1" applyProtection="1">
      <alignment vertical="top" wrapText="1"/>
    </xf>
    <xf numFmtId="0" fontId="1" fillId="5" borderId="37" xfId="0" applyFont="1" applyFill="1" applyBorder="1" applyAlignment="1" applyProtection="1">
      <alignment vertical="top" wrapText="1"/>
      <protection locked="0"/>
    </xf>
    <xf numFmtId="0" fontId="23" fillId="4" borderId="40" xfId="0" applyFont="1" applyFill="1" applyBorder="1" applyAlignment="1" applyProtection="1">
      <alignment vertical="top" wrapText="1"/>
      <protection locked="0"/>
    </xf>
    <xf numFmtId="0" fontId="23" fillId="6" borderId="51" xfId="0" applyFont="1" applyFill="1" applyBorder="1" applyAlignment="1" applyProtection="1">
      <alignment vertical="top" wrapText="1"/>
      <protection locked="0"/>
    </xf>
    <xf numFmtId="0" fontId="26" fillId="3" borderId="6" xfId="0" applyFont="1" applyFill="1" applyBorder="1" applyAlignment="1" applyProtection="1">
      <alignment horizontal="center" vertical="top" wrapText="1"/>
      <protection locked="0"/>
    </xf>
    <xf numFmtId="0" fontId="26" fillId="3" borderId="6" xfId="0" applyFont="1" applyFill="1" applyBorder="1" applyAlignment="1" applyProtection="1">
      <alignment horizontal="center" vertical="center" wrapText="1"/>
      <protection locked="0"/>
    </xf>
    <xf numFmtId="0" fontId="23" fillId="6" borderId="41" xfId="0" applyFont="1" applyFill="1" applyBorder="1" applyAlignment="1" applyProtection="1">
      <alignment vertical="top" wrapText="1"/>
      <protection locked="0"/>
    </xf>
    <xf numFmtId="0" fontId="23" fillId="4" borderId="0" xfId="0" applyFont="1" applyFill="1" applyBorder="1" applyAlignment="1" applyProtection="1">
      <alignment vertical="top" wrapText="1"/>
      <protection locked="0"/>
    </xf>
    <xf numFmtId="0" fontId="23" fillId="4" borderId="0" xfId="0" applyFont="1" applyFill="1" applyAlignment="1" applyProtection="1">
      <alignment vertical="top" wrapText="1"/>
      <protection locked="0"/>
    </xf>
    <xf numFmtId="0" fontId="23" fillId="4" borderId="0" xfId="0" applyFont="1" applyFill="1" applyBorder="1" applyAlignment="1" applyProtection="1">
      <alignment vertical="top" wrapText="1"/>
    </xf>
    <xf numFmtId="0" fontId="0" fillId="4" borderId="0" xfId="0" applyFill="1" applyAlignment="1">
      <alignment vertical="top" wrapText="1"/>
    </xf>
    <xf numFmtId="0" fontId="0" fillId="0" borderId="0" xfId="0" applyAlignment="1" applyProtection="1"/>
    <xf numFmtId="0" fontId="0" fillId="2" borderId="0" xfId="0" applyFill="1" applyAlignment="1" applyProtection="1">
      <alignment vertical="center" wrapText="1"/>
      <protection hidden="1"/>
    </xf>
    <xf numFmtId="0" fontId="0" fillId="2" borderId="0" xfId="0" applyFill="1" applyAlignment="1" applyProtection="1">
      <alignment vertical="center" wrapText="1"/>
      <protection locked="0" hidden="1"/>
    </xf>
    <xf numFmtId="0" fontId="0" fillId="5" borderId="138" xfId="0" applyFont="1" applyFill="1" applyBorder="1" applyAlignment="1" applyProtection="1">
      <alignment horizontal="left" vertical="center" wrapText="1"/>
    </xf>
    <xf numFmtId="0" fontId="24" fillId="4" borderId="0" xfId="0" applyFont="1" applyFill="1" applyBorder="1" applyAlignment="1" applyProtection="1">
      <alignment horizontal="left" vertical="center"/>
      <protection hidden="1"/>
    </xf>
    <xf numFmtId="0" fontId="24" fillId="4" borderId="0" xfId="0" applyFont="1" applyFill="1" applyAlignment="1" applyProtection="1">
      <alignment vertical="center"/>
    </xf>
    <xf numFmtId="0" fontId="24" fillId="4" borderId="0" xfId="0" applyFont="1" applyFill="1" applyProtection="1">
      <protection hidden="1"/>
    </xf>
    <xf numFmtId="1" fontId="0" fillId="12" borderId="61" xfId="0" applyNumberFormat="1" applyFill="1" applyBorder="1" applyAlignment="1" applyProtection="1">
      <alignment horizontal="right"/>
    </xf>
    <xf numFmtId="1" fontId="0" fillId="12" borderId="5" xfId="0" applyNumberFormat="1" applyFill="1" applyBorder="1" applyAlignment="1" applyProtection="1">
      <alignment horizontal="right"/>
    </xf>
    <xf numFmtId="0" fontId="0" fillId="0" borderId="61" xfId="0" applyFill="1" applyBorder="1" applyAlignment="1" applyProtection="1">
      <alignment horizontal="right"/>
    </xf>
    <xf numFmtId="0" fontId="0" fillId="0" borderId="5" xfId="0" applyFill="1" applyBorder="1" applyAlignment="1" applyProtection="1">
      <alignment horizontal="right"/>
    </xf>
    <xf numFmtId="0" fontId="0" fillId="0" borderId="62" xfId="0" applyBorder="1" applyProtection="1"/>
    <xf numFmtId="0" fontId="32" fillId="8" borderId="5" xfId="0" applyFont="1" applyFill="1" applyBorder="1" applyProtection="1"/>
    <xf numFmtId="0" fontId="32" fillId="8" borderId="2" xfId="0" applyFont="1" applyFill="1" applyBorder="1" applyProtection="1"/>
    <xf numFmtId="0" fontId="32" fillId="0" borderId="61" xfId="0" applyFont="1" applyBorder="1" applyProtection="1"/>
    <xf numFmtId="0" fontId="32" fillId="0" borderId="56" xfId="0" applyFont="1" applyBorder="1" applyProtection="1"/>
    <xf numFmtId="1" fontId="0" fillId="12" borderId="61" xfId="0" applyNumberFormat="1" applyFill="1" applyBorder="1" applyProtection="1"/>
    <xf numFmtId="1" fontId="0" fillId="12" borderId="5" xfId="0" applyNumberFormat="1" applyFill="1" applyBorder="1" applyProtection="1"/>
    <xf numFmtId="1" fontId="0" fillId="12" borderId="62" xfId="0" applyNumberFormat="1" applyFill="1" applyBorder="1" applyProtection="1"/>
    <xf numFmtId="0" fontId="0" fillId="0" borderId="13" xfId="0" applyFill="1" applyBorder="1" applyProtection="1"/>
    <xf numFmtId="0" fontId="0" fillId="20" borderId="0" xfId="0" applyFill="1" applyBorder="1" applyProtection="1"/>
    <xf numFmtId="1" fontId="0" fillId="12" borderId="66" xfId="0" applyNumberFormat="1" applyFill="1" applyBorder="1" applyAlignment="1" applyProtection="1">
      <alignment horizontal="right"/>
    </xf>
    <xf numFmtId="1" fontId="0" fillId="12" borderId="3" xfId="0" applyNumberFormat="1" applyFill="1" applyBorder="1" applyAlignment="1" applyProtection="1">
      <alignment horizontal="right"/>
    </xf>
    <xf numFmtId="1" fontId="0" fillId="12" borderId="67" xfId="0" applyNumberFormat="1" applyFill="1" applyBorder="1" applyAlignment="1" applyProtection="1">
      <alignment horizontal="right"/>
    </xf>
    <xf numFmtId="1" fontId="0" fillId="12" borderId="67" xfId="0" applyNumberFormat="1" applyFill="1" applyBorder="1" applyProtection="1"/>
    <xf numFmtId="0" fontId="0" fillId="0" borderId="66" xfId="0" applyFill="1" applyBorder="1" applyAlignment="1" applyProtection="1">
      <alignment horizontal="right"/>
    </xf>
    <xf numFmtId="0" fontId="0" fillId="0" borderId="3" xfId="0" applyFill="1" applyBorder="1" applyAlignment="1" applyProtection="1">
      <alignment horizontal="right"/>
    </xf>
    <xf numFmtId="0" fontId="0" fillId="0" borderId="9" xfId="0" applyFill="1" applyBorder="1" applyAlignment="1" applyProtection="1">
      <alignment horizontal="right"/>
    </xf>
    <xf numFmtId="0" fontId="0" fillId="0" borderId="67" xfId="0" applyBorder="1" applyProtection="1"/>
    <xf numFmtId="0" fontId="0" fillId="0" borderId="13" xfId="0" applyFill="1" applyBorder="1" applyAlignment="1" applyProtection="1">
      <alignment horizontal="right"/>
    </xf>
    <xf numFmtId="1" fontId="24" fillId="12" borderId="5" xfId="0" applyNumberFormat="1" applyFont="1" applyFill="1" applyBorder="1" applyProtection="1"/>
    <xf numFmtId="1" fontId="0" fillId="12" borderId="66" xfId="0" applyNumberFormat="1" applyFill="1" applyBorder="1" applyProtection="1"/>
    <xf numFmtId="1" fontId="0" fillId="12" borderId="3" xfId="0" applyNumberFormat="1" applyFill="1" applyBorder="1" applyProtection="1"/>
    <xf numFmtId="0" fontId="0" fillId="0" borderId="9" xfId="0" applyFill="1" applyBorder="1" applyProtection="1"/>
    <xf numFmtId="0" fontId="0" fillId="8" borderId="15" xfId="0" applyFill="1" applyBorder="1" applyProtection="1"/>
    <xf numFmtId="0" fontId="0" fillId="0" borderId="87" xfId="0" applyFill="1" applyBorder="1" applyProtection="1"/>
    <xf numFmtId="0" fontId="0" fillId="0" borderId="62" xfId="0" applyFill="1" applyBorder="1" applyProtection="1"/>
    <xf numFmtId="0" fontId="0" fillId="0" borderId="67" xfId="0" applyFill="1" applyBorder="1" applyProtection="1"/>
    <xf numFmtId="0" fontId="23" fillId="10" borderId="82" xfId="0" applyFont="1" applyFill="1" applyBorder="1" applyAlignment="1" applyProtection="1">
      <alignment horizontal="center" wrapText="1"/>
    </xf>
    <xf numFmtId="0" fontId="32" fillId="0" borderId="53" xfId="0" applyFont="1" applyBorder="1" applyProtection="1"/>
    <xf numFmtId="0" fontId="32" fillId="8" borderId="54" xfId="0" applyFont="1" applyFill="1" applyBorder="1" applyProtection="1"/>
    <xf numFmtId="0" fontId="32" fillId="5" borderId="24" xfId="0" applyFont="1" applyFill="1" applyBorder="1" applyAlignment="1" applyProtection="1">
      <alignment horizontal="left" vertical="center"/>
    </xf>
    <xf numFmtId="0" fontId="0" fillId="5" borderId="24" xfId="0" applyFont="1" applyFill="1" applyBorder="1" applyAlignment="1" applyProtection="1">
      <alignment horizontal="left" vertical="center" indent="2"/>
    </xf>
    <xf numFmtId="164" fontId="26" fillId="5" borderId="138" xfId="0" applyNumberFormat="1" applyFont="1" applyFill="1" applyBorder="1" applyAlignment="1" applyProtection="1">
      <alignment horizontal="center" vertical="center"/>
    </xf>
    <xf numFmtId="0" fontId="0" fillId="5" borderId="124" xfId="0" applyFill="1" applyBorder="1" applyAlignment="1" applyProtection="1">
      <alignment vertical="center"/>
    </xf>
    <xf numFmtId="0" fontId="26" fillId="4" borderId="0" xfId="0" applyFont="1" applyFill="1" applyBorder="1" applyAlignment="1" applyProtection="1">
      <alignment horizontal="left" vertical="center" wrapText="1"/>
      <protection locked="0"/>
    </xf>
    <xf numFmtId="0" fontId="37" fillId="5" borderId="37" xfId="0" applyFont="1" applyFill="1" applyBorder="1" applyAlignment="1" applyProtection="1">
      <alignment horizontal="center" vertical="center"/>
    </xf>
    <xf numFmtId="164" fontId="37" fillId="5" borderId="24" xfId="0" applyNumberFormat="1" applyFont="1" applyFill="1" applyBorder="1" applyAlignment="1" applyProtection="1">
      <alignment horizontal="center" vertical="center"/>
    </xf>
    <xf numFmtId="0" fontId="37" fillId="5" borderId="91" xfId="0" applyFont="1" applyFill="1" applyBorder="1" applyAlignment="1" applyProtection="1">
      <alignment horizontal="left" vertical="center"/>
    </xf>
    <xf numFmtId="0" fontId="28" fillId="6" borderId="124" xfId="0" applyFont="1" applyFill="1" applyBorder="1" applyAlignment="1" applyProtection="1">
      <alignment vertical="center"/>
    </xf>
    <xf numFmtId="0" fontId="23" fillId="6" borderId="0" xfId="0" applyFont="1" applyFill="1" applyBorder="1" applyAlignment="1" applyProtection="1">
      <alignment vertical="center"/>
    </xf>
    <xf numFmtId="0" fontId="23" fillId="6" borderId="0" xfId="0" applyFont="1" applyFill="1" applyBorder="1" applyAlignment="1" applyProtection="1">
      <alignment vertical="center"/>
      <protection locked="0"/>
    </xf>
    <xf numFmtId="0" fontId="26" fillId="3" borderId="11" xfId="0" applyFont="1" applyFill="1" applyBorder="1" applyAlignment="1" applyProtection="1">
      <alignment horizontal="center" vertical="center"/>
      <protection locked="0"/>
    </xf>
    <xf numFmtId="0" fontId="26" fillId="3" borderId="115" xfId="0" applyFont="1" applyFill="1" applyBorder="1" applyAlignment="1" applyProtection="1">
      <alignment horizontal="center" vertical="center"/>
      <protection locked="0"/>
    </xf>
    <xf numFmtId="0" fontId="23" fillId="6" borderId="135" xfId="0" applyFont="1" applyFill="1" applyBorder="1" applyAlignment="1" applyProtection="1">
      <alignment horizontal="left" vertical="top" wrapText="1"/>
      <protection locked="0"/>
    </xf>
    <xf numFmtId="0" fontId="26" fillId="4" borderId="131" xfId="0" applyFont="1" applyFill="1" applyBorder="1" applyAlignment="1" applyProtection="1">
      <alignment horizontal="left" vertical="center" wrapText="1"/>
      <protection locked="0"/>
    </xf>
    <xf numFmtId="0" fontId="26" fillId="4" borderId="103" xfId="0" applyFont="1" applyFill="1" applyBorder="1" applyAlignment="1" applyProtection="1">
      <alignment horizontal="left" vertical="center"/>
      <protection locked="0"/>
    </xf>
    <xf numFmtId="0" fontId="26" fillId="0" borderId="140" xfId="0" applyFont="1" applyFill="1" applyBorder="1" applyAlignment="1" applyProtection="1">
      <alignment horizontal="left" vertical="top" wrapText="1"/>
      <protection locked="0"/>
    </xf>
    <xf numFmtId="164" fontId="37" fillId="5" borderId="28" xfId="0" applyNumberFormat="1" applyFont="1" applyFill="1" applyBorder="1" applyAlignment="1" applyProtection="1">
      <alignment horizontal="center" vertical="center"/>
    </xf>
    <xf numFmtId="0" fontId="26" fillId="4" borderId="6" xfId="0" applyFont="1" applyFill="1" applyBorder="1" applyAlignment="1" applyProtection="1">
      <alignment horizontal="center" vertical="center" wrapText="1"/>
      <protection locked="0"/>
    </xf>
    <xf numFmtId="0" fontId="29" fillId="2" borderId="0" xfId="0" applyFont="1" applyFill="1" applyBorder="1" applyAlignment="1" applyProtection="1">
      <alignment horizontal="left" vertical="top" wrapText="1"/>
    </xf>
    <xf numFmtId="0" fontId="41" fillId="2" borderId="143" xfId="0" applyFont="1" applyFill="1" applyBorder="1" applyAlignment="1" applyProtection="1">
      <alignment horizontal="left" vertical="top" wrapText="1"/>
    </xf>
    <xf numFmtId="0" fontId="50" fillId="0" borderId="0" xfId="0" applyFont="1"/>
    <xf numFmtId="0" fontId="51" fillId="4" borderId="0" xfId="0" applyFont="1" applyFill="1" applyBorder="1" applyAlignment="1">
      <alignment horizontal="left" vertical="top" wrapText="1"/>
    </xf>
    <xf numFmtId="0" fontId="51" fillId="4" borderId="0" xfId="0" applyFont="1" applyFill="1" applyBorder="1" applyAlignment="1">
      <alignment horizontal="center" vertical="top" wrapText="1"/>
    </xf>
    <xf numFmtId="0" fontId="50" fillId="0" borderId="0" xfId="0" applyFont="1" applyBorder="1"/>
    <xf numFmtId="0" fontId="51" fillId="0" borderId="0" xfId="0" applyFont="1" applyFill="1" applyBorder="1"/>
    <xf numFmtId="0" fontId="50" fillId="0" borderId="0" xfId="0" applyFont="1" applyFill="1" applyBorder="1"/>
    <xf numFmtId="0" fontId="54" fillId="0" borderId="119" xfId="0" applyFont="1" applyBorder="1" applyProtection="1">
      <protection locked="0"/>
    </xf>
    <xf numFmtId="0" fontId="54" fillId="0" borderId="123" xfId="0" applyFont="1" applyBorder="1" applyProtection="1">
      <protection locked="0"/>
    </xf>
    <xf numFmtId="0" fontId="54" fillId="0" borderId="123" xfId="0" applyFont="1" applyBorder="1" applyAlignment="1" applyProtection="1">
      <alignment wrapText="1"/>
      <protection locked="0"/>
    </xf>
    <xf numFmtId="0" fontId="54" fillId="0" borderId="123" xfId="0" applyFont="1" applyFill="1" applyBorder="1" applyProtection="1">
      <protection locked="0"/>
    </xf>
    <xf numFmtId="0" fontId="98" fillId="4" borderId="0" xfId="0" applyFont="1" applyFill="1" applyBorder="1" applyAlignment="1">
      <alignment horizontal="center" vertical="center" wrapText="1"/>
    </xf>
    <xf numFmtId="0" fontId="99" fillId="0" borderId="2" xfId="3" applyFont="1" applyFill="1" applyBorder="1" applyAlignment="1">
      <alignment horizontal="center" vertical="center"/>
    </xf>
    <xf numFmtId="0" fontId="97" fillId="0" borderId="0" xfId="0" applyFont="1" applyFill="1" applyBorder="1" applyAlignment="1">
      <alignment horizontal="center" vertical="center"/>
    </xf>
    <xf numFmtId="0" fontId="54" fillId="0" borderId="0" xfId="0" applyFont="1" applyFill="1" applyBorder="1" applyProtection="1">
      <protection locked="0"/>
    </xf>
    <xf numFmtId="0" fontId="55" fillId="0" borderId="123" xfId="0" applyFont="1" applyBorder="1" applyProtection="1">
      <protection locked="0"/>
    </xf>
    <xf numFmtId="0" fontId="54" fillId="0" borderId="0" xfId="0" applyFont="1" applyBorder="1" applyProtection="1">
      <protection locked="0"/>
    </xf>
    <xf numFmtId="0" fontId="99" fillId="0" borderId="0" xfId="3" applyFont="1" applyFill="1" applyBorder="1" applyAlignment="1">
      <alignment horizontal="center" vertical="center"/>
    </xf>
    <xf numFmtId="0" fontId="55" fillId="0" borderId="123" xfId="0" applyFont="1" applyFill="1" applyBorder="1" applyProtection="1">
      <protection locked="0"/>
    </xf>
    <xf numFmtId="0" fontId="55" fillId="0" borderId="0" xfId="0" applyFont="1" applyFill="1" applyBorder="1" applyProtection="1">
      <protection locked="0"/>
    </xf>
    <xf numFmtId="0" fontId="55" fillId="0" borderId="0" xfId="0" applyFont="1" applyBorder="1" applyProtection="1">
      <protection locked="0"/>
    </xf>
    <xf numFmtId="0" fontId="55" fillId="0" borderId="148" xfId="0" applyFont="1" applyBorder="1" applyAlignment="1" applyProtection="1">
      <protection locked="0"/>
    </xf>
    <xf numFmtId="0" fontId="100" fillId="0" borderId="2" xfId="3" applyFont="1" applyFill="1" applyBorder="1"/>
    <xf numFmtId="0" fontId="51" fillId="0" borderId="2" xfId="0" applyFont="1" applyFill="1" applyBorder="1" applyAlignment="1">
      <alignment horizontal="center"/>
    </xf>
    <xf numFmtId="0" fontId="100" fillId="0" borderId="2" xfId="3" applyFont="1" applyFill="1" applyBorder="1" applyAlignment="1">
      <alignment vertical="top"/>
    </xf>
    <xf numFmtId="0" fontId="51" fillId="0" borderId="0" xfId="0" applyFont="1" applyFill="1" applyBorder="1" applyAlignment="1">
      <alignment horizontal="center"/>
    </xf>
    <xf numFmtId="0" fontId="101" fillId="0" borderId="2" xfId="3" applyFont="1" applyFill="1" applyBorder="1"/>
    <xf numFmtId="0" fontId="102" fillId="0" borderId="2" xfId="0" applyFont="1" applyFill="1" applyBorder="1" applyAlignment="1">
      <alignment horizontal="center"/>
    </xf>
    <xf numFmtId="0" fontId="101" fillId="0" borderId="2" xfId="3" applyFont="1" applyFill="1" applyBorder="1" applyAlignment="1">
      <alignment vertical="top"/>
    </xf>
    <xf numFmtId="0" fontId="102" fillId="0" borderId="2" xfId="0" applyFont="1" applyFill="1" applyBorder="1" applyAlignment="1">
      <alignment horizontal="center" vertical="top"/>
    </xf>
    <xf numFmtId="0" fontId="100" fillId="0" borderId="2" xfId="3" applyFont="1" applyFill="1" applyBorder="1" applyAlignment="1">
      <alignment horizontal="right"/>
    </xf>
    <xf numFmtId="0" fontId="102" fillId="0" borderId="2" xfId="0" applyFont="1" applyFill="1" applyBorder="1" applyAlignment="1">
      <alignment horizontal="center" wrapText="1"/>
    </xf>
    <xf numFmtId="0" fontId="51" fillId="0" borderId="2" xfId="0" applyFont="1" applyFill="1" applyBorder="1" applyAlignment="1">
      <alignment horizontal="center" wrapText="1"/>
    </xf>
    <xf numFmtId="0" fontId="51" fillId="0" borderId="2" xfId="0" applyFont="1" applyFill="1" applyBorder="1" applyAlignment="1">
      <alignment horizontal="center" vertical="top"/>
    </xf>
    <xf numFmtId="0" fontId="100" fillId="0" borderId="4" xfId="3" applyFont="1" applyFill="1" applyBorder="1"/>
    <xf numFmtId="0" fontId="51" fillId="0" borderId="4" xfId="0" applyFont="1" applyFill="1" applyBorder="1" applyAlignment="1">
      <alignment horizontal="center"/>
    </xf>
    <xf numFmtId="0" fontId="100" fillId="0" borderId="0" xfId="3" applyFont="1" applyFill="1" applyBorder="1"/>
    <xf numFmtId="0" fontId="0" fillId="0" borderId="2" xfId="0" applyFont="1" applyFill="1" applyBorder="1" applyAlignment="1" applyProtection="1">
      <alignment horizontal="left" indent="2"/>
    </xf>
    <xf numFmtId="0" fontId="23" fillId="10" borderId="149" xfId="0" applyFont="1" applyFill="1" applyBorder="1" applyAlignment="1" applyProtection="1">
      <alignment horizontal="center" wrapText="1"/>
    </xf>
    <xf numFmtId="0" fontId="0" fillId="8" borderId="75" xfId="0" applyFill="1" applyBorder="1" applyProtection="1"/>
    <xf numFmtId="0" fontId="0" fillId="8" borderId="76" xfId="0" applyFill="1" applyBorder="1" applyProtection="1"/>
    <xf numFmtId="10" fontId="0" fillId="8" borderId="0" xfId="0" applyNumberFormat="1" applyFill="1" applyProtection="1"/>
    <xf numFmtId="0" fontId="0" fillId="8" borderId="2" xfId="0" applyFont="1" applyFill="1" applyBorder="1" applyAlignment="1" applyProtection="1">
      <alignment horizontal="center" wrapText="1"/>
    </xf>
    <xf numFmtId="0" fontId="32" fillId="5" borderId="29" xfId="0" applyFont="1" applyFill="1" applyBorder="1" applyAlignment="1" applyProtection="1">
      <alignment vertical="center"/>
    </xf>
    <xf numFmtId="0" fontId="32" fillId="5" borderId="24" xfId="0" applyFont="1" applyFill="1" applyBorder="1" applyAlignment="1" applyProtection="1">
      <alignment vertical="center"/>
    </xf>
    <xf numFmtId="0" fontId="104" fillId="5" borderId="90" xfId="0" applyFont="1" applyFill="1" applyBorder="1" applyAlignment="1" applyProtection="1">
      <alignment horizontal="center" vertical="center"/>
      <protection locked="0"/>
    </xf>
    <xf numFmtId="0" fontId="23" fillId="10" borderId="11" xfId="0" applyFont="1" applyFill="1" applyBorder="1" applyAlignment="1" applyProtection="1">
      <alignment wrapText="1"/>
      <protection hidden="1"/>
    </xf>
    <xf numFmtId="0" fontId="23" fillId="10" borderId="2" xfId="0" applyFont="1" applyFill="1" applyBorder="1" applyAlignment="1" applyProtection="1">
      <alignment wrapText="1"/>
      <protection hidden="1"/>
    </xf>
    <xf numFmtId="0" fontId="9" fillId="4" borderId="35" xfId="0" applyFont="1" applyFill="1" applyBorder="1" applyAlignment="1" applyProtection="1">
      <alignment horizontal="left" vertical="top" wrapText="1"/>
    </xf>
    <xf numFmtId="0" fontId="7" fillId="3" borderId="46" xfId="0" applyFont="1" applyFill="1" applyBorder="1" applyAlignment="1" applyProtection="1">
      <alignment horizontal="left" vertical="top"/>
    </xf>
    <xf numFmtId="0" fontId="7" fillId="3" borderId="47" xfId="0" applyFont="1" applyFill="1" applyBorder="1" applyAlignment="1" applyProtection="1">
      <alignment horizontal="left" vertical="top"/>
    </xf>
    <xf numFmtId="0" fontId="7" fillId="3" borderId="46" xfId="0" applyFont="1" applyFill="1" applyBorder="1" applyAlignment="1" applyProtection="1">
      <alignment horizontal="left" vertical="center"/>
    </xf>
    <xf numFmtId="0" fontId="7" fillId="3" borderId="47" xfId="0" applyFont="1" applyFill="1" applyBorder="1" applyAlignment="1" applyProtection="1">
      <alignment horizontal="left" vertical="center"/>
    </xf>
    <xf numFmtId="0" fontId="32" fillId="8" borderId="2" xfId="0" applyFont="1" applyFill="1" applyBorder="1" applyAlignment="1" applyProtection="1">
      <alignment wrapText="1"/>
    </xf>
    <xf numFmtId="0" fontId="0" fillId="18" borderId="2" xfId="0" applyFill="1" applyBorder="1" applyAlignment="1" applyProtection="1">
      <alignment wrapText="1"/>
    </xf>
    <xf numFmtId="0" fontId="94" fillId="18" borderId="2" xfId="0" applyFont="1" applyFill="1" applyBorder="1" applyAlignment="1" applyProtection="1">
      <alignment wrapText="1"/>
    </xf>
    <xf numFmtId="0" fontId="94" fillId="18" borderId="3" xfId="0" applyFont="1" applyFill="1" applyBorder="1" applyAlignment="1" applyProtection="1">
      <alignment wrapText="1"/>
    </xf>
    <xf numFmtId="0" fontId="0" fillId="18" borderId="15" xfId="0" applyFill="1" applyBorder="1" applyAlignment="1" applyProtection="1">
      <alignment wrapText="1"/>
    </xf>
    <xf numFmtId="0" fontId="0" fillId="18" borderId="2" xfId="0" applyFont="1" applyFill="1" applyBorder="1" applyAlignment="1" applyProtection="1">
      <alignment wrapText="1"/>
    </xf>
    <xf numFmtId="0" fontId="0" fillId="12" borderId="5" xfId="0" applyFont="1" applyFill="1" applyBorder="1" applyAlignment="1" applyProtection="1">
      <alignment wrapText="1"/>
    </xf>
    <xf numFmtId="0" fontId="0" fillId="9" borderId="2" xfId="0" applyFill="1" applyBorder="1" applyAlignment="1" applyProtection="1">
      <alignment horizontal="left" indent="2"/>
    </xf>
    <xf numFmtId="0" fontId="0" fillId="12" borderId="3" xfId="0" applyFont="1" applyFill="1" applyBorder="1" applyAlignment="1" applyProtection="1">
      <alignment wrapText="1"/>
    </xf>
    <xf numFmtId="0" fontId="32" fillId="9" borderId="56" xfId="0" applyFont="1" applyFill="1" applyBorder="1" applyProtection="1"/>
    <xf numFmtId="0" fontId="0" fillId="12" borderId="15" xfId="0" applyFont="1" applyFill="1" applyBorder="1" applyAlignment="1" applyProtection="1">
      <alignment wrapText="1"/>
    </xf>
    <xf numFmtId="0" fontId="0" fillId="12" borderId="59" xfId="0" applyFont="1" applyFill="1" applyBorder="1" applyAlignment="1" applyProtection="1">
      <alignment wrapText="1"/>
    </xf>
    <xf numFmtId="0" fontId="0" fillId="9" borderId="2" xfId="0" applyFont="1" applyFill="1" applyBorder="1" applyAlignment="1" applyProtection="1">
      <alignment horizontal="left" indent="2"/>
    </xf>
    <xf numFmtId="0" fontId="32" fillId="0" borderId="56" xfId="0" applyFont="1" applyFill="1" applyBorder="1" applyProtection="1"/>
    <xf numFmtId="0" fontId="0" fillId="0" borderId="56" xfId="0" applyFont="1" applyFill="1" applyBorder="1" applyProtection="1"/>
    <xf numFmtId="0" fontId="0" fillId="0" borderId="58" xfId="0" applyFont="1" applyFill="1" applyBorder="1" applyProtection="1"/>
    <xf numFmtId="0" fontId="0" fillId="12" borderId="5" xfId="0" applyFont="1" applyFill="1" applyBorder="1" applyAlignment="1">
      <alignment wrapText="1"/>
    </xf>
    <xf numFmtId="0" fontId="0" fillId="0" borderId="59" xfId="0" applyFont="1" applyFill="1" applyBorder="1" applyAlignment="1" applyProtection="1">
      <alignment horizontal="left" indent="2"/>
    </xf>
    <xf numFmtId="0" fontId="32" fillId="20" borderId="2" xfId="0" applyFont="1" applyFill="1" applyBorder="1" applyAlignment="1" applyProtection="1">
      <alignment wrapText="1"/>
    </xf>
    <xf numFmtId="0" fontId="0" fillId="20" borderId="0" xfId="0" applyFill="1" applyAlignment="1" applyProtection="1"/>
    <xf numFmtId="0" fontId="0" fillId="12" borderId="54" xfId="0" applyFont="1" applyFill="1" applyBorder="1" applyAlignment="1" applyProtection="1">
      <alignment wrapText="1"/>
    </xf>
    <xf numFmtId="0" fontId="0" fillId="18" borderId="75" xfId="0" applyFill="1" applyBorder="1" applyProtection="1"/>
    <xf numFmtId="0" fontId="0" fillId="18" borderId="4" xfId="0" applyFill="1" applyBorder="1" applyProtection="1"/>
    <xf numFmtId="0" fontId="0" fillId="18" borderId="69" xfId="0" applyFill="1" applyBorder="1" applyProtection="1"/>
    <xf numFmtId="0" fontId="0" fillId="18" borderId="76" xfId="0" applyFill="1" applyBorder="1" applyProtection="1"/>
    <xf numFmtId="0" fontId="32" fillId="8" borderId="2" xfId="0" applyFont="1" applyFill="1" applyBorder="1" applyAlignment="1" applyProtection="1">
      <alignment horizontal="center" wrapText="1"/>
    </xf>
    <xf numFmtId="0" fontId="24" fillId="0" borderId="0" xfId="0" applyFont="1" applyAlignment="1" applyProtection="1">
      <alignment vertical="top"/>
    </xf>
    <xf numFmtId="10" fontId="0" fillId="18" borderId="0" xfId="0" applyNumberFormat="1" applyFill="1" applyProtection="1"/>
    <xf numFmtId="0" fontId="0" fillId="8" borderId="71" xfId="0" applyFill="1" applyBorder="1" applyProtection="1"/>
    <xf numFmtId="0" fontId="0" fillId="18" borderId="71" xfId="0" applyFill="1" applyBorder="1" applyProtection="1"/>
    <xf numFmtId="0" fontId="0" fillId="8" borderId="69" xfId="0" applyFill="1" applyBorder="1" applyProtection="1"/>
    <xf numFmtId="0" fontId="0" fillId="8" borderId="3" xfId="0" applyFill="1" applyBorder="1" applyProtection="1"/>
    <xf numFmtId="0" fontId="32" fillId="12" borderId="85" xfId="0" applyFont="1" applyFill="1" applyBorder="1" applyProtection="1"/>
    <xf numFmtId="0" fontId="32" fillId="12" borderId="15" xfId="0" applyFont="1" applyFill="1" applyBorder="1" applyProtection="1"/>
    <xf numFmtId="0" fontId="32" fillId="12" borderId="86" xfId="0" applyFont="1" applyFill="1" applyBorder="1" applyProtection="1"/>
    <xf numFmtId="0" fontId="0" fillId="12" borderId="85" xfId="0" applyFont="1" applyFill="1" applyBorder="1" applyProtection="1"/>
    <xf numFmtId="0" fontId="0" fillId="12" borderId="15" xfId="0" applyFont="1" applyFill="1" applyBorder="1" applyProtection="1"/>
    <xf numFmtId="0" fontId="0" fillId="12" borderId="86" xfId="0" applyFont="1" applyFill="1" applyBorder="1" applyProtection="1"/>
    <xf numFmtId="0" fontId="0" fillId="9" borderId="3" xfId="0" applyFill="1" applyBorder="1" applyProtection="1"/>
    <xf numFmtId="0" fontId="32" fillId="0" borderId="3" xfId="0" applyFont="1" applyBorder="1" applyProtection="1"/>
    <xf numFmtId="0" fontId="32" fillId="0" borderId="54" xfId="0" applyFont="1" applyBorder="1" applyProtection="1"/>
    <xf numFmtId="1" fontId="32" fillId="12" borderId="2" xfId="0" applyNumberFormat="1" applyFont="1" applyFill="1" applyBorder="1" applyProtection="1"/>
    <xf numFmtId="1" fontId="32" fillId="12" borderId="57" xfId="0" applyNumberFormat="1" applyFont="1" applyFill="1" applyBorder="1" applyProtection="1"/>
    <xf numFmtId="1" fontId="32" fillId="12" borderId="56" xfId="0" applyNumberFormat="1" applyFont="1" applyFill="1" applyBorder="1" applyProtection="1"/>
    <xf numFmtId="0" fontId="32" fillId="0" borderId="2" xfId="0" applyFont="1" applyBorder="1" applyProtection="1"/>
    <xf numFmtId="0" fontId="32" fillId="2" borderId="0" xfId="0" applyFont="1" applyFill="1" applyBorder="1" applyAlignment="1" applyProtection="1">
      <alignment vertical="center"/>
    </xf>
    <xf numFmtId="0" fontId="32" fillId="5" borderId="24" xfId="0" applyFont="1" applyFill="1" applyBorder="1" applyAlignment="1" applyProtection="1">
      <alignment horizontal="left" vertical="center" wrapText="1"/>
    </xf>
    <xf numFmtId="0" fontId="0" fillId="20" borderId="4" xfId="0" applyFill="1" applyBorder="1" applyProtection="1"/>
    <xf numFmtId="0" fontId="0" fillId="0" borderId="0" xfId="0"/>
    <xf numFmtId="0" fontId="50" fillId="0" borderId="0" xfId="0" applyFont="1"/>
    <xf numFmtId="0" fontId="51" fillId="4" borderId="0" xfId="0" applyFont="1" applyFill="1" applyBorder="1" applyAlignment="1">
      <alignment horizontal="left" vertical="top" wrapText="1"/>
    </xf>
    <xf numFmtId="0" fontId="51" fillId="4" borderId="0" xfId="0" applyFont="1" applyFill="1" applyBorder="1" applyAlignment="1">
      <alignment horizontal="center" vertical="top" wrapText="1"/>
    </xf>
    <xf numFmtId="0" fontId="50" fillId="0" borderId="0" xfId="0" applyFont="1" applyBorder="1"/>
    <xf numFmtId="0" fontId="51" fillId="0" borderId="0" xfId="0" applyFont="1" applyFill="1" applyBorder="1"/>
    <xf numFmtId="0" fontId="50" fillId="0" borderId="0" xfId="0" applyFont="1" applyFill="1" applyBorder="1"/>
    <xf numFmtId="0" fontId="54" fillId="0" borderId="119" xfId="0" applyFont="1" applyBorder="1" applyProtection="1">
      <protection locked="0"/>
    </xf>
    <xf numFmtId="0" fontId="54" fillId="0" borderId="123" xfId="0" applyFont="1" applyBorder="1" applyProtection="1">
      <protection locked="0"/>
    </xf>
    <xf numFmtId="0" fontId="54" fillId="0" borderId="123" xfId="0" applyFont="1" applyBorder="1" applyAlignment="1" applyProtection="1">
      <alignment wrapText="1"/>
      <protection locked="0"/>
    </xf>
    <xf numFmtId="0" fontId="54" fillId="0" borderId="123" xfId="0" applyFont="1" applyFill="1" applyBorder="1" applyProtection="1">
      <protection locked="0"/>
    </xf>
    <xf numFmtId="0" fontId="98" fillId="4" borderId="0" xfId="0" applyFont="1" applyFill="1" applyBorder="1" applyAlignment="1">
      <alignment horizontal="center" vertical="center" wrapText="1"/>
    </xf>
    <xf numFmtId="0" fontId="54" fillId="0" borderId="0" xfId="0" applyFont="1" applyFill="1" applyBorder="1" applyProtection="1">
      <protection locked="0"/>
    </xf>
    <xf numFmtId="0" fontId="55" fillId="0" borderId="123" xfId="0" applyFont="1" applyBorder="1" applyProtection="1">
      <protection locked="0"/>
    </xf>
    <xf numFmtId="0" fontId="54" fillId="0" borderId="0" xfId="0" applyFont="1" applyBorder="1" applyProtection="1">
      <protection locked="0"/>
    </xf>
    <xf numFmtId="0" fontId="55" fillId="0" borderId="123" xfId="0" applyFont="1" applyFill="1" applyBorder="1" applyProtection="1">
      <protection locked="0"/>
    </xf>
    <xf numFmtId="0" fontId="55" fillId="0" borderId="0" xfId="0" applyFont="1" applyFill="1" applyBorder="1" applyProtection="1">
      <protection locked="0"/>
    </xf>
    <xf numFmtId="0" fontId="55" fillId="0" borderId="0" xfId="0" applyFont="1" applyBorder="1" applyProtection="1">
      <protection locked="0"/>
    </xf>
    <xf numFmtId="0" fontId="55" fillId="0" borderId="148" xfId="0" applyFont="1" applyBorder="1" applyAlignment="1" applyProtection="1">
      <protection locked="0"/>
    </xf>
    <xf numFmtId="0" fontId="103" fillId="5" borderId="142" xfId="0" applyFont="1" applyFill="1" applyBorder="1" applyProtection="1">
      <protection locked="0"/>
    </xf>
    <xf numFmtId="0" fontId="103" fillId="5" borderId="141" xfId="0" applyFont="1" applyFill="1" applyBorder="1" applyProtection="1">
      <protection locked="0"/>
    </xf>
    <xf numFmtId="1" fontId="32" fillId="12" borderId="57" xfId="0" applyNumberFormat="1" applyFont="1" applyFill="1" applyBorder="1" applyAlignment="1" applyProtection="1">
      <alignment horizontal="right"/>
    </xf>
    <xf numFmtId="1" fontId="32" fillId="12" borderId="56" xfId="0" applyNumberFormat="1" applyFont="1" applyFill="1" applyBorder="1" applyAlignment="1" applyProtection="1">
      <alignment horizontal="right"/>
    </xf>
    <xf numFmtId="1" fontId="32" fillId="12" borderId="2" xfId="0" applyNumberFormat="1" applyFont="1" applyFill="1" applyBorder="1" applyAlignment="1" applyProtection="1">
      <alignment horizontal="right"/>
    </xf>
    <xf numFmtId="0" fontId="0" fillId="20" borderId="56" xfId="0" applyFill="1" applyBorder="1" applyAlignment="1" applyProtection="1">
      <alignment horizontal="right"/>
    </xf>
    <xf numFmtId="1" fontId="32" fillId="12" borderId="61" xfId="0" applyNumberFormat="1" applyFont="1" applyFill="1" applyBorder="1" applyAlignment="1" applyProtection="1">
      <alignment horizontal="right"/>
    </xf>
    <xf numFmtId="1" fontId="32" fillId="12" borderId="5" xfId="0" applyNumberFormat="1" applyFont="1" applyFill="1" applyBorder="1" applyAlignment="1" applyProtection="1">
      <alignment horizontal="right"/>
    </xf>
    <xf numFmtId="1" fontId="0" fillId="12" borderId="2" xfId="0" applyNumberFormat="1" applyFont="1" applyFill="1" applyBorder="1" applyProtection="1"/>
    <xf numFmtId="1" fontId="0" fillId="12" borderId="57" xfId="0" applyNumberFormat="1" applyFont="1" applyFill="1" applyBorder="1" applyProtection="1"/>
    <xf numFmtId="1" fontId="0" fillId="12" borderId="56" xfId="0" applyNumberFormat="1" applyFont="1" applyFill="1" applyBorder="1" applyProtection="1"/>
    <xf numFmtId="0" fontId="24" fillId="0" borderId="2" xfId="0" applyFont="1" applyFill="1" applyBorder="1" applyAlignment="1" applyProtection="1">
      <alignment horizontal="left" indent="2"/>
    </xf>
    <xf numFmtId="0" fontId="24" fillId="2" borderId="0" xfId="0" applyFont="1" applyFill="1" applyBorder="1" applyProtection="1">
      <protection hidden="1"/>
    </xf>
    <xf numFmtId="0" fontId="0" fillId="0" borderId="86" xfId="0" applyBorder="1" applyProtection="1"/>
    <xf numFmtId="0" fontId="46" fillId="0" borderId="3" xfId="0" applyFont="1" applyBorder="1" applyProtection="1"/>
    <xf numFmtId="0" fontId="24" fillId="2" borderId="1" xfId="0" applyFont="1" applyFill="1" applyBorder="1" applyProtection="1">
      <protection hidden="1"/>
    </xf>
    <xf numFmtId="0" fontId="7" fillId="3" borderId="102" xfId="0" applyFont="1" applyFill="1" applyBorder="1" applyAlignment="1" applyProtection="1">
      <alignment horizontal="left" vertical="center"/>
    </xf>
    <xf numFmtId="0" fontId="7" fillId="3" borderId="150" xfId="0" applyFont="1" applyFill="1" applyBorder="1" applyAlignment="1" applyProtection="1">
      <alignment horizontal="left" vertical="center"/>
    </xf>
    <xf numFmtId="0" fontId="7" fillId="3" borderId="27" xfId="0" applyFont="1" applyFill="1" applyBorder="1" applyAlignment="1" applyProtection="1">
      <alignment horizontal="left" vertical="center"/>
    </xf>
    <xf numFmtId="0" fontId="0" fillId="0" borderId="7" xfId="0" applyFill="1" applyBorder="1" applyAlignment="1" applyProtection="1">
      <alignment horizontal="right"/>
    </xf>
    <xf numFmtId="1" fontId="32" fillId="20" borderId="2" xfId="0" applyNumberFormat="1" applyFont="1" applyFill="1" applyBorder="1" applyAlignment="1" applyProtection="1">
      <alignment horizontal="right"/>
    </xf>
    <xf numFmtId="1" fontId="32" fillId="20" borderId="57" xfId="0" applyNumberFormat="1" applyFont="1" applyFill="1" applyBorder="1" applyAlignment="1" applyProtection="1">
      <alignment horizontal="right"/>
    </xf>
    <xf numFmtId="0" fontId="0" fillId="22" borderId="2" xfId="0" applyFont="1" applyFill="1" applyBorder="1" applyAlignment="1" applyProtection="1">
      <alignment wrapText="1"/>
    </xf>
    <xf numFmtId="0" fontId="0" fillId="20" borderId="71" xfId="0" applyFill="1" applyBorder="1" applyProtection="1"/>
    <xf numFmtId="0" fontId="0" fillId="9" borderId="56" xfId="0" applyFill="1" applyBorder="1" applyProtection="1"/>
    <xf numFmtId="0" fontId="0" fillId="18" borderId="0" xfId="0" applyFill="1" applyAlignment="1"/>
    <xf numFmtId="0" fontId="55" fillId="0" borderId="148" xfId="0" applyFont="1" applyBorder="1" applyAlignment="1" applyProtection="1">
      <alignment vertical="top"/>
      <protection locked="0"/>
    </xf>
    <xf numFmtId="0" fontId="55" fillId="0" borderId="0" xfId="0" applyFont="1" applyBorder="1" applyAlignment="1" applyProtection="1">
      <alignment vertical="top"/>
      <protection locked="0"/>
    </xf>
    <xf numFmtId="0" fontId="55" fillId="0" borderId="12" xfId="0" applyFont="1" applyBorder="1" applyAlignment="1" applyProtection="1">
      <alignment vertical="top"/>
      <protection locked="0"/>
    </xf>
    <xf numFmtId="0" fontId="55" fillId="0" borderId="148" xfId="0" applyFont="1" applyBorder="1" applyAlignment="1" applyProtection="1">
      <alignment vertical="top" wrapText="1"/>
      <protection locked="0"/>
    </xf>
    <xf numFmtId="0" fontId="55" fillId="0" borderId="12" xfId="0" applyFont="1" applyBorder="1" applyAlignment="1" applyProtection="1">
      <alignment vertical="top" wrapText="1"/>
      <protection locked="0"/>
    </xf>
    <xf numFmtId="0" fontId="51" fillId="0" borderId="148" xfId="0" applyFont="1" applyBorder="1" applyAlignment="1">
      <alignment vertical="top"/>
    </xf>
    <xf numFmtId="0" fontId="51" fillId="0" borderId="0" xfId="0" applyFont="1" applyAlignment="1">
      <alignment vertical="top"/>
    </xf>
    <xf numFmtId="0" fontId="51" fillId="0" borderId="12" xfId="0" applyFont="1" applyBorder="1" applyAlignment="1">
      <alignment vertical="top"/>
    </xf>
    <xf numFmtId="0" fontId="55" fillId="0" borderId="0" xfId="0" applyFont="1" applyBorder="1" applyAlignment="1" applyProtection="1">
      <protection locked="0"/>
    </xf>
    <xf numFmtId="0" fontId="0" fillId="20" borderId="69" xfId="0" applyFill="1" applyBorder="1" applyProtection="1"/>
    <xf numFmtId="0" fontId="0" fillId="20" borderId="76" xfId="0" applyFill="1" applyBorder="1" applyProtection="1"/>
    <xf numFmtId="0" fontId="0" fillId="20" borderId="75" xfId="0" applyFill="1" applyBorder="1" applyProtection="1"/>
    <xf numFmtId="166" fontId="0" fillId="20" borderId="69" xfId="0" applyNumberFormat="1" applyFill="1" applyBorder="1" applyProtection="1"/>
    <xf numFmtId="0" fontId="0" fillId="0" borderId="0" xfId="0"/>
    <xf numFmtId="166" fontId="0" fillId="8" borderId="69" xfId="0" applyNumberFormat="1" applyFill="1" applyBorder="1" applyProtection="1"/>
    <xf numFmtId="166" fontId="0" fillId="18" borderId="69" xfId="0" applyNumberFormat="1" applyFill="1" applyBorder="1" applyProtection="1"/>
    <xf numFmtId="0" fontId="0" fillId="0" borderId="0" xfId="0"/>
    <xf numFmtId="0" fontId="0" fillId="0" borderId="0" xfId="0"/>
    <xf numFmtId="0" fontId="51" fillId="4" borderId="0" xfId="0" applyFont="1" applyFill="1" applyBorder="1" applyAlignment="1">
      <alignment horizontal="center" vertical="top" wrapText="1"/>
    </xf>
    <xf numFmtId="0" fontId="51" fillId="0" borderId="0" xfId="0" applyFont="1"/>
    <xf numFmtId="0" fontId="51" fillId="0" borderId="0" xfId="0" applyFont="1" applyAlignment="1">
      <alignment horizontal="center"/>
    </xf>
    <xf numFmtId="0" fontId="100" fillId="0" borderId="2" xfId="3" applyFont="1" applyFill="1" applyBorder="1"/>
    <xf numFmtId="0" fontId="100" fillId="0" borderId="2" xfId="3" applyFont="1" applyFill="1" applyBorder="1" applyAlignment="1">
      <alignment vertical="top"/>
    </xf>
    <xf numFmtId="0" fontId="101" fillId="0" borderId="2" xfId="3" applyFont="1" applyFill="1" applyBorder="1"/>
    <xf numFmtId="0" fontId="101" fillId="0" borderId="2" xfId="3" applyFont="1" applyFill="1" applyBorder="1" applyAlignment="1">
      <alignment vertical="top"/>
    </xf>
    <xf numFmtId="0" fontId="100" fillId="0" borderId="2" xfId="3" applyFont="1" applyFill="1" applyBorder="1" applyAlignment="1">
      <alignment horizontal="right"/>
    </xf>
    <xf numFmtId="0" fontId="100" fillId="0" borderId="4" xfId="3" applyFont="1" applyFill="1" applyBorder="1"/>
    <xf numFmtId="0" fontId="100" fillId="0" borderId="0" xfId="3" applyFont="1" applyFill="1" applyBorder="1"/>
    <xf numFmtId="0" fontId="55" fillId="0" borderId="0" xfId="0" applyFont="1" applyAlignment="1" applyProtection="1">
      <alignment vertical="top"/>
      <protection locked="0"/>
    </xf>
    <xf numFmtId="0" fontId="55" fillId="0" borderId="0" xfId="0" applyFont="1" applyAlignment="1" applyProtection="1">
      <alignment vertical="top" wrapText="1"/>
      <protection locked="0"/>
    </xf>
    <xf numFmtId="0" fontId="55" fillId="0" borderId="0" xfId="0" applyFont="1" applyProtection="1">
      <protection locked="0"/>
    </xf>
    <xf numFmtId="0" fontId="51" fillId="0" borderId="2" xfId="0" applyFont="1" applyBorder="1" applyAlignment="1">
      <alignment horizontal="center"/>
    </xf>
    <xf numFmtId="0" fontId="102" fillId="0" borderId="2" xfId="0" applyFont="1" applyBorder="1" applyAlignment="1">
      <alignment horizontal="center"/>
    </xf>
    <xf numFmtId="0" fontId="102" fillId="0" borderId="2" xfId="0" applyFont="1" applyBorder="1" applyAlignment="1">
      <alignment horizontal="center" vertical="top"/>
    </xf>
    <xf numFmtId="0" fontId="102" fillId="0" borderId="2" xfId="0" applyFont="1" applyBorder="1" applyAlignment="1">
      <alignment horizontal="center" wrapText="1"/>
    </xf>
    <xf numFmtId="0" fontId="51" fillId="0" borderId="2" xfId="0" applyFont="1" applyBorder="1" applyAlignment="1">
      <alignment horizontal="center" wrapText="1"/>
    </xf>
    <xf numFmtId="0" fontId="51" fillId="0" borderId="2" xfId="0" applyFont="1" applyBorder="1" applyAlignment="1">
      <alignment horizontal="center" vertical="top"/>
    </xf>
    <xf numFmtId="0" fontId="51" fillId="0" borderId="4" xfId="0" applyFont="1" applyBorder="1" applyAlignment="1">
      <alignment horizontal="center"/>
    </xf>
    <xf numFmtId="0" fontId="55" fillId="0" borderId="12" xfId="0" applyFont="1" applyBorder="1" applyProtection="1">
      <protection locked="0"/>
    </xf>
    <xf numFmtId="0" fontId="0" fillId="0" borderId="73" xfId="0" applyBorder="1" applyProtection="1"/>
    <xf numFmtId="0" fontId="32" fillId="8" borderId="2" xfId="0" applyFont="1" applyFill="1" applyBorder="1" applyAlignment="1" applyProtection="1">
      <alignment horizontal="right" wrapText="1"/>
    </xf>
    <xf numFmtId="0" fontId="26" fillId="20" borderId="2" xfId="0" applyFont="1" applyFill="1" applyBorder="1" applyAlignment="1" applyProtection="1">
      <alignment horizontal="center" vertical="center"/>
    </xf>
    <xf numFmtId="0" fontId="107" fillId="4" borderId="0" xfId="0" applyFont="1" applyFill="1" applyBorder="1" applyAlignment="1" applyProtection="1">
      <alignment vertical="top" wrapText="1"/>
      <protection hidden="1"/>
    </xf>
    <xf numFmtId="0" fontId="24" fillId="4" borderId="0" xfId="0" applyFont="1" applyFill="1" applyBorder="1" applyAlignment="1" applyProtection="1">
      <alignment horizontal="left" vertical="center" wrapText="1"/>
      <protection hidden="1"/>
    </xf>
    <xf numFmtId="0" fontId="26" fillId="20" borderId="7" xfId="0" applyFont="1" applyFill="1" applyBorder="1" applyAlignment="1" applyProtection="1">
      <alignment horizontal="center" vertical="center"/>
    </xf>
    <xf numFmtId="0" fontId="0" fillId="5" borderId="24" xfId="0" applyFont="1" applyFill="1" applyBorder="1" applyAlignment="1" applyProtection="1">
      <alignment horizontal="left" vertical="center" wrapText="1" indent="2"/>
    </xf>
    <xf numFmtId="0" fontId="23" fillId="4" borderId="0" xfId="0" applyFont="1" applyFill="1" applyAlignment="1" applyProtection="1">
      <alignment vertical="center"/>
    </xf>
    <xf numFmtId="0" fontId="26" fillId="0" borderId="7" xfId="0" applyFont="1" applyFill="1" applyBorder="1" applyAlignment="1" applyProtection="1">
      <alignment horizontal="center" vertical="center"/>
      <protection locked="0"/>
    </xf>
    <xf numFmtId="0" fontId="25" fillId="6" borderId="124" xfId="0" applyFont="1" applyFill="1" applyBorder="1" applyAlignment="1" applyProtection="1">
      <alignment vertical="center"/>
    </xf>
    <xf numFmtId="0" fontId="23" fillId="4" borderId="0" xfId="0" applyFont="1" applyFill="1" applyBorder="1" applyAlignment="1" applyProtection="1">
      <alignment horizontal="right" vertical="center"/>
      <protection hidden="1"/>
    </xf>
    <xf numFmtId="0" fontId="23" fillId="4" borderId="0" xfId="0" applyFont="1" applyFill="1" applyBorder="1" applyAlignment="1" applyProtection="1">
      <alignment horizontal="right" vertical="center" wrapText="1"/>
      <protection hidden="1"/>
    </xf>
    <xf numFmtId="0" fontId="23" fillId="4" borderId="0" xfId="0" applyFont="1" applyFill="1" applyAlignment="1" applyProtection="1">
      <alignment horizontal="right" vertical="center"/>
    </xf>
    <xf numFmtId="0" fontId="24" fillId="4" borderId="0" xfId="0" applyFont="1" applyFill="1" applyBorder="1" applyAlignment="1" applyProtection="1">
      <alignment horizontal="right" wrapText="1"/>
      <protection hidden="1"/>
    </xf>
    <xf numFmtId="0" fontId="24" fillId="4" borderId="0" xfId="0" applyFont="1" applyFill="1" applyAlignment="1" applyProtection="1">
      <alignment horizontal="right"/>
      <protection hidden="1"/>
    </xf>
    <xf numFmtId="0" fontId="103" fillId="5" borderId="24" xfId="0" applyFont="1" applyFill="1" applyBorder="1" applyAlignment="1" applyProtection="1">
      <alignment horizontal="left" vertical="center"/>
    </xf>
    <xf numFmtId="0" fontId="104" fillId="5" borderId="88" xfId="0" applyFont="1" applyFill="1" applyBorder="1" applyAlignment="1" applyProtection="1">
      <alignment horizontal="left" vertical="center" wrapText="1"/>
    </xf>
    <xf numFmtId="0" fontId="0" fillId="5" borderId="24" xfId="0" applyFont="1" applyFill="1" applyBorder="1" applyAlignment="1" applyProtection="1">
      <alignment vertical="center"/>
    </xf>
    <xf numFmtId="0" fontId="32" fillId="5" borderId="88" xfId="0" applyFont="1" applyFill="1" applyBorder="1" applyAlignment="1" applyProtection="1">
      <alignment vertical="center"/>
    </xf>
    <xf numFmtId="0" fontId="28" fillId="6" borderId="0" xfId="0" applyFont="1" applyFill="1" applyBorder="1" applyAlignment="1" applyProtection="1">
      <alignment vertical="center"/>
    </xf>
    <xf numFmtId="0" fontId="0" fillId="2" borderId="0" xfId="0" applyFill="1" applyBorder="1" applyAlignment="1" applyProtection="1">
      <alignment vertical="center" wrapText="1"/>
    </xf>
    <xf numFmtId="0" fontId="28" fillId="6" borderId="0" xfId="0" applyFont="1" applyFill="1" applyBorder="1" applyAlignment="1" applyProtection="1">
      <alignment vertical="center" wrapText="1"/>
    </xf>
    <xf numFmtId="0" fontId="0" fillId="5" borderId="24" xfId="0" applyFont="1" applyFill="1" applyBorder="1" applyAlignment="1" applyProtection="1">
      <alignment vertical="center" wrapText="1"/>
    </xf>
    <xf numFmtId="0" fontId="32" fillId="5" borderId="24" xfId="0" applyFont="1" applyFill="1" applyBorder="1" applyAlignment="1" applyProtection="1">
      <alignment vertical="center" wrapText="1"/>
    </xf>
    <xf numFmtId="0" fontId="32" fillId="5" borderId="88" xfId="0" applyFont="1" applyFill="1" applyBorder="1" applyAlignment="1" applyProtection="1">
      <alignment vertical="center" wrapText="1"/>
    </xf>
    <xf numFmtId="0" fontId="103" fillId="5" borderId="24" xfId="0" applyFont="1" applyFill="1" applyBorder="1" applyAlignment="1" applyProtection="1">
      <alignment vertical="center"/>
    </xf>
    <xf numFmtId="0" fontId="103" fillId="5" borderId="24" xfId="0" applyFont="1" applyFill="1" applyBorder="1" applyAlignment="1" applyProtection="1">
      <alignment vertical="center" wrapText="1"/>
    </xf>
    <xf numFmtId="164" fontId="26" fillId="5" borderId="25" xfId="0" applyNumberFormat="1" applyFont="1" applyFill="1" applyBorder="1" applyAlignment="1" applyProtection="1">
      <alignment horizontal="center" vertical="center"/>
    </xf>
    <xf numFmtId="164" fontId="37" fillId="5" borderId="34" xfId="0" applyNumberFormat="1" applyFont="1" applyFill="1" applyBorder="1" applyAlignment="1" applyProtection="1">
      <alignment horizontal="center" vertical="center"/>
    </xf>
    <xf numFmtId="0" fontId="0" fillId="2" borderId="0" xfId="0" applyFill="1" applyAlignment="1" applyProtection="1">
      <alignment horizontal="left" vertical="top" wrapText="1"/>
      <protection locked="0"/>
    </xf>
    <xf numFmtId="0" fontId="26" fillId="0" borderId="36" xfId="0" applyFont="1" applyBorder="1" applyAlignment="1" applyProtection="1">
      <alignment horizontal="left" vertical="top" wrapText="1"/>
      <protection locked="0"/>
    </xf>
    <xf numFmtId="0" fontId="26" fillId="0" borderId="2" xfId="0" applyFont="1" applyFill="1" applyBorder="1" applyAlignment="1" applyProtection="1">
      <alignment horizontal="left" vertical="center" wrapText="1"/>
      <protection locked="0"/>
    </xf>
    <xf numFmtId="0" fontId="0" fillId="4" borderId="0" xfId="0" applyFill="1" applyAlignment="1" applyProtection="1">
      <alignment vertical="top" wrapText="1"/>
      <protection locked="0"/>
    </xf>
    <xf numFmtId="0" fontId="0" fillId="8" borderId="4" xfId="0" applyFill="1" applyBorder="1" applyProtection="1"/>
    <xf numFmtId="0" fontId="0" fillId="8" borderId="7" xfId="0" applyFill="1" applyBorder="1" applyProtection="1"/>
    <xf numFmtId="0" fontId="0" fillId="18" borderId="5" xfId="0" applyFill="1" applyBorder="1" applyProtection="1"/>
    <xf numFmtId="0" fontId="0" fillId="8" borderId="9" xfId="0" applyFill="1" applyBorder="1" applyProtection="1"/>
    <xf numFmtId="0" fontId="0" fillId="18" borderId="7" xfId="0" applyFill="1" applyBorder="1" applyProtection="1"/>
    <xf numFmtId="0" fontId="0" fillId="0" borderId="10" xfId="0" applyBorder="1" applyProtection="1"/>
    <xf numFmtId="0" fontId="0" fillId="13" borderId="99" xfId="0" applyFill="1" applyBorder="1" applyProtection="1"/>
    <xf numFmtId="0" fontId="0" fillId="9" borderId="81" xfId="0" applyFill="1" applyBorder="1" applyProtection="1"/>
    <xf numFmtId="0" fontId="0" fillId="8" borderId="152" xfId="0" applyFill="1" applyBorder="1" applyProtection="1"/>
    <xf numFmtId="0" fontId="94" fillId="0" borderId="2" xfId="0" applyFont="1" applyFill="1" applyBorder="1" applyAlignment="1" applyProtection="1">
      <alignment horizontal="left" indent="2"/>
    </xf>
    <xf numFmtId="0" fontId="94" fillId="0" borderId="0" xfId="0" applyFont="1"/>
    <xf numFmtId="0" fontId="108" fillId="0" borderId="119" xfId="0" applyFont="1" applyBorder="1" applyProtection="1">
      <protection locked="0"/>
    </xf>
    <xf numFmtId="0" fontId="109" fillId="0" borderId="148" xfId="0" applyFont="1" applyBorder="1" applyAlignment="1" applyProtection="1">
      <alignment vertical="top"/>
      <protection locked="0"/>
    </xf>
    <xf numFmtId="0" fontId="0" fillId="8" borderId="61" xfId="0" applyFill="1" applyBorder="1" applyProtection="1"/>
    <xf numFmtId="0" fontId="32" fillId="0" borderId="5" xfId="0" applyFont="1" applyBorder="1" applyProtection="1"/>
    <xf numFmtId="0" fontId="0" fillId="12" borderId="5" xfId="0" applyFill="1" applyBorder="1" applyAlignment="1" applyProtection="1">
      <alignment wrapText="1"/>
    </xf>
    <xf numFmtId="0" fontId="0" fillId="12" borderId="62" xfId="0" applyFill="1" applyBorder="1" applyAlignment="1" applyProtection="1">
      <alignment wrapText="1"/>
    </xf>
    <xf numFmtId="0" fontId="0" fillId="12" borderId="61" xfId="0" applyFill="1" applyBorder="1" applyProtection="1"/>
    <xf numFmtId="0" fontId="0" fillId="12" borderId="5" xfId="0" applyFill="1" applyBorder="1" applyProtection="1"/>
    <xf numFmtId="0" fontId="0" fillId="12" borderId="62" xfId="0" applyFill="1" applyBorder="1" applyProtection="1"/>
    <xf numFmtId="0" fontId="0" fillId="0" borderId="55" xfId="0" applyFill="1" applyBorder="1" applyAlignment="1" applyProtection="1">
      <alignment horizontal="right"/>
    </xf>
    <xf numFmtId="0" fontId="26" fillId="4" borderId="5" xfId="0" applyFont="1" applyFill="1" applyBorder="1" applyAlignment="1" applyProtection="1">
      <alignment horizontal="left" vertical="center" wrapText="1"/>
      <protection locked="0"/>
    </xf>
    <xf numFmtId="0" fontId="26" fillId="4" borderId="1" xfId="0" applyFont="1" applyFill="1" applyBorder="1" applyAlignment="1" applyProtection="1">
      <alignment horizontal="left" vertical="center"/>
      <protection locked="0"/>
    </xf>
    <xf numFmtId="0" fontId="26" fillId="0" borderId="153" xfId="0" applyFont="1" applyFill="1" applyBorder="1" applyAlignment="1" applyProtection="1">
      <alignment horizontal="left" vertical="top" wrapText="1"/>
      <protection locked="0"/>
    </xf>
    <xf numFmtId="0" fontId="0" fillId="23" borderId="56" xfId="0" applyFill="1" applyBorder="1" applyAlignment="1" applyProtection="1">
      <alignment horizontal="right"/>
    </xf>
    <xf numFmtId="0" fontId="110" fillId="0" borderId="2" xfId="0" applyFont="1" applyFill="1" applyBorder="1" applyAlignment="1" applyProtection="1">
      <alignment horizontal="left" indent="2"/>
    </xf>
    <xf numFmtId="0" fontId="106" fillId="3" borderId="101" xfId="0" applyFont="1" applyFill="1" applyBorder="1" applyAlignment="1" applyProtection="1">
      <alignment horizontal="right" vertical="center" wrapText="1"/>
      <protection hidden="1"/>
    </xf>
    <xf numFmtId="0" fontId="0" fillId="22" borderId="15" xfId="0" applyFont="1" applyFill="1" applyBorder="1" applyAlignment="1" applyProtection="1">
      <alignment wrapText="1"/>
    </xf>
    <xf numFmtId="0" fontId="32" fillId="13" borderId="65" xfId="0" applyFont="1" applyFill="1" applyBorder="1" applyAlignment="1" applyProtection="1">
      <alignment wrapText="1"/>
    </xf>
    <xf numFmtId="0" fontId="94" fillId="0" borderId="3" xfId="0" applyFont="1" applyFill="1" applyBorder="1" applyAlignment="1" applyProtection="1">
      <alignment horizontal="left" indent="2"/>
    </xf>
    <xf numFmtId="0" fontId="0" fillId="12" borderId="55" xfId="0" applyFont="1" applyFill="1" applyBorder="1" applyAlignment="1" applyProtection="1">
      <alignment wrapText="1"/>
    </xf>
    <xf numFmtId="0" fontId="0" fillId="12" borderId="57" xfId="0" applyFont="1" applyFill="1" applyBorder="1" applyAlignment="1" applyProtection="1">
      <alignment wrapText="1"/>
    </xf>
    <xf numFmtId="0" fontId="0" fillId="12" borderId="60" xfId="0" applyFont="1" applyFill="1" applyBorder="1" applyAlignment="1" applyProtection="1">
      <alignment wrapText="1"/>
    </xf>
    <xf numFmtId="0" fontId="94" fillId="0" borderId="2" xfId="0" applyFont="1" applyBorder="1" applyProtection="1"/>
    <xf numFmtId="9" fontId="0" fillId="0" borderId="2" xfId="0" applyNumberFormat="1" applyBorder="1"/>
    <xf numFmtId="0" fontId="0" fillId="19" borderId="2" xfId="0" applyFill="1" applyBorder="1"/>
    <xf numFmtId="164" fontId="0" fillId="0" borderId="2" xfId="0" applyNumberFormat="1" applyBorder="1"/>
    <xf numFmtId="164" fontId="65" fillId="5" borderId="34" xfId="2" applyNumberFormat="1" applyFont="1" applyFill="1" applyBorder="1" applyAlignment="1" applyProtection="1">
      <alignment horizontal="center" vertical="center"/>
      <protection hidden="1"/>
    </xf>
    <xf numFmtId="164" fontId="64" fillId="5" borderId="28" xfId="2" applyNumberFormat="1" applyFont="1" applyFill="1" applyBorder="1" applyAlignment="1" applyProtection="1">
      <alignment horizontal="center" vertical="center"/>
      <protection hidden="1"/>
    </xf>
    <xf numFmtId="9" fontId="77" fillId="5" borderId="154" xfId="2" applyNumberFormat="1" applyFont="1" applyFill="1" applyBorder="1" applyAlignment="1" applyProtection="1">
      <alignment horizontal="center" vertical="center"/>
      <protection hidden="1"/>
    </xf>
    <xf numFmtId="9" fontId="77" fillId="5" borderId="155" xfId="2" applyNumberFormat="1" applyFont="1" applyFill="1" applyBorder="1" applyAlignment="1" applyProtection="1">
      <alignment horizontal="center" vertical="center"/>
      <protection hidden="1"/>
    </xf>
    <xf numFmtId="164" fontId="65" fillId="5" borderId="155" xfId="2" applyNumberFormat="1" applyFont="1" applyFill="1" applyBorder="1" applyAlignment="1" applyProtection="1">
      <alignment horizontal="center" vertical="center"/>
      <protection hidden="1"/>
    </xf>
    <xf numFmtId="9" fontId="67" fillId="3" borderId="155" xfId="0" applyNumberFormat="1" applyFont="1" applyFill="1" applyBorder="1" applyAlignment="1" applyProtection="1">
      <alignment horizontal="right" vertical="center"/>
      <protection hidden="1"/>
    </xf>
    <xf numFmtId="0" fontId="67" fillId="3" borderId="156" xfId="0" applyFont="1" applyFill="1" applyBorder="1" applyProtection="1">
      <protection hidden="1"/>
    </xf>
    <xf numFmtId="0" fontId="16" fillId="3" borderId="157" xfId="0" applyFont="1" applyFill="1" applyBorder="1" applyAlignment="1" applyProtection="1">
      <alignment horizontal="right" vertical="center"/>
      <protection hidden="1"/>
    </xf>
    <xf numFmtId="0" fontId="23" fillId="10" borderId="2" xfId="0" applyFont="1" applyFill="1" applyBorder="1" applyProtection="1"/>
    <xf numFmtId="0" fontId="32" fillId="0" borderId="2" xfId="0" applyFont="1" applyFill="1" applyBorder="1" applyProtection="1"/>
    <xf numFmtId="0" fontId="0" fillId="0" borderId="2" xfId="0" applyFont="1" applyFill="1" applyBorder="1" applyProtection="1"/>
    <xf numFmtId="0" fontId="90" fillId="10" borderId="2" xfId="0" applyFont="1" applyFill="1" applyBorder="1" applyProtection="1"/>
    <xf numFmtId="0" fontId="0" fillId="0" borderId="72" xfId="0" applyBorder="1" applyProtection="1"/>
    <xf numFmtId="0" fontId="7" fillId="3" borderId="40"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1" fillId="5" borderId="0" xfId="0" applyFont="1" applyFill="1" applyBorder="1" applyAlignment="1" applyProtection="1">
      <alignment vertical="center"/>
    </xf>
    <xf numFmtId="165" fontId="7" fillId="3" borderId="158" xfId="0" applyNumberFormat="1" applyFont="1" applyFill="1" applyBorder="1" applyAlignment="1" applyProtection="1">
      <alignment horizontal="left" vertical="center"/>
    </xf>
    <xf numFmtId="0" fontId="0" fillId="0" borderId="27" xfId="0" applyBorder="1" applyProtection="1"/>
    <xf numFmtId="0" fontId="16" fillId="3" borderId="105" xfId="0" applyFont="1" applyFill="1" applyBorder="1" applyAlignment="1" applyProtection="1">
      <alignment horizontal="right" vertical="center"/>
      <protection hidden="1"/>
    </xf>
    <xf numFmtId="0" fontId="0" fillId="24" borderId="56" xfId="0" applyFill="1" applyBorder="1" applyAlignment="1" applyProtection="1">
      <alignment horizontal="right"/>
    </xf>
    <xf numFmtId="0" fontId="32" fillId="0" borderId="15" xfId="0" applyFont="1" applyFill="1" applyBorder="1" applyProtection="1"/>
    <xf numFmtId="0" fontId="32" fillId="0" borderId="3" xfId="0" applyFont="1" applyBorder="1" applyAlignment="1" applyProtection="1">
      <alignment wrapText="1"/>
    </xf>
    <xf numFmtId="0" fontId="19" fillId="3" borderId="41" xfId="0" applyFont="1" applyFill="1" applyBorder="1" applyAlignment="1" applyProtection="1">
      <alignment vertical="top"/>
    </xf>
    <xf numFmtId="0" fontId="0" fillId="0" borderId="6" xfId="0" applyBorder="1" applyProtection="1"/>
    <xf numFmtId="0" fontId="0" fillId="8" borderId="6" xfId="0" applyFill="1" applyBorder="1" applyProtection="1"/>
    <xf numFmtId="0" fontId="0" fillId="18" borderId="6" xfId="0" applyFill="1" applyBorder="1" applyProtection="1"/>
    <xf numFmtId="0" fontId="0" fillId="13" borderId="159" xfId="0" applyFill="1" applyBorder="1" applyProtection="1"/>
    <xf numFmtId="0" fontId="0" fillId="10" borderId="77" xfId="0" applyFill="1" applyBorder="1" applyProtection="1"/>
    <xf numFmtId="0" fontId="0" fillId="9" borderId="77" xfId="0" applyFill="1" applyBorder="1" applyProtection="1"/>
    <xf numFmtId="0" fontId="0" fillId="0" borderId="9" xfId="0" applyBorder="1" applyProtection="1"/>
    <xf numFmtId="0" fontId="23" fillId="10" borderId="77" xfId="0" applyFont="1" applyFill="1" applyBorder="1" applyAlignment="1" applyProtection="1">
      <alignment wrapText="1"/>
    </xf>
    <xf numFmtId="0" fontId="0" fillId="0" borderId="6" xfId="0" applyFill="1" applyBorder="1" applyProtection="1"/>
    <xf numFmtId="0" fontId="0" fillId="0" borderId="160" xfId="0" applyBorder="1" applyProtection="1"/>
    <xf numFmtId="0" fontId="32" fillId="13" borderId="118" xfId="0" applyFont="1" applyFill="1" applyBorder="1" applyAlignment="1" applyProtection="1">
      <alignment wrapText="1"/>
    </xf>
    <xf numFmtId="0" fontId="0" fillId="8" borderId="161" xfId="0" applyFill="1" applyBorder="1" applyProtection="1"/>
    <xf numFmtId="0" fontId="23" fillId="10" borderId="55" xfId="0" applyFont="1" applyFill="1" applyBorder="1" applyProtection="1"/>
    <xf numFmtId="0" fontId="32" fillId="8" borderId="57" xfId="0" applyFont="1" applyFill="1" applyBorder="1" applyAlignment="1" applyProtection="1">
      <alignment horizontal="right" wrapText="1"/>
    </xf>
    <xf numFmtId="0" fontId="0" fillId="18" borderId="57" xfId="0" applyFill="1" applyBorder="1" applyProtection="1"/>
    <xf numFmtId="0" fontId="32" fillId="13" borderId="60" xfId="0" applyFont="1" applyFill="1" applyBorder="1" applyAlignment="1" applyProtection="1">
      <alignment wrapText="1"/>
    </xf>
    <xf numFmtId="0" fontId="23" fillId="10" borderId="106" xfId="0" applyFont="1" applyFill="1" applyBorder="1" applyProtection="1"/>
    <xf numFmtId="0" fontId="0" fillId="8" borderId="7" xfId="0" applyFont="1" applyFill="1" applyBorder="1" applyAlignment="1" applyProtection="1">
      <alignment horizontal="center" wrapText="1"/>
    </xf>
    <xf numFmtId="0" fontId="23" fillId="10" borderId="68" xfId="0" applyFont="1" applyFill="1" applyBorder="1" applyAlignment="1" applyProtection="1">
      <alignment wrapText="1"/>
    </xf>
    <xf numFmtId="0" fontId="32" fillId="8" borderId="7" xfId="0" applyFont="1" applyFill="1" applyBorder="1" applyAlignment="1" applyProtection="1">
      <alignment horizontal="center" wrapText="1"/>
    </xf>
    <xf numFmtId="0" fontId="0" fillId="13" borderId="118" xfId="0" applyFill="1" applyBorder="1" applyProtection="1"/>
    <xf numFmtId="0" fontId="0" fillId="18" borderId="70" xfId="0" applyFill="1" applyBorder="1" applyProtection="1"/>
    <xf numFmtId="0" fontId="0" fillId="0" borderId="152" xfId="0" applyBorder="1" applyProtection="1"/>
    <xf numFmtId="0" fontId="0" fillId="20" borderId="2" xfId="0" applyFill="1" applyBorder="1" applyProtection="1"/>
    <xf numFmtId="0" fontId="0" fillId="0" borderId="81" xfId="0" applyBorder="1" applyProtection="1"/>
    <xf numFmtId="0" fontId="0" fillId="8" borderId="0" xfId="0" applyFill="1" applyBorder="1" applyProtection="1"/>
    <xf numFmtId="0" fontId="0" fillId="8" borderId="19" xfId="0" applyFill="1" applyBorder="1" applyProtection="1"/>
    <xf numFmtId="0" fontId="0" fillId="8" borderId="73" xfId="0" applyFill="1" applyBorder="1" applyProtection="1"/>
    <xf numFmtId="0" fontId="0" fillId="8" borderId="19" xfId="0" applyFont="1" applyFill="1" applyBorder="1" applyProtection="1"/>
    <xf numFmtId="0" fontId="0" fillId="8" borderId="22" xfId="0" applyFill="1" applyBorder="1" applyProtection="1"/>
    <xf numFmtId="0" fontId="0" fillId="20" borderId="0" xfId="0" applyFill="1" applyBorder="1" applyAlignment="1" applyProtection="1">
      <alignment horizontal="right"/>
    </xf>
    <xf numFmtId="1" fontId="0" fillId="20" borderId="2" xfId="0" applyNumberFormat="1" applyFont="1" applyFill="1" applyBorder="1" applyProtection="1"/>
    <xf numFmtId="1" fontId="0" fillId="20" borderId="57" xfId="0" applyNumberFormat="1" applyFont="1" applyFill="1" applyBorder="1" applyProtection="1"/>
    <xf numFmtId="1" fontId="32" fillId="20" borderId="57" xfId="0" applyNumberFormat="1" applyFont="1" applyFill="1" applyBorder="1" applyProtection="1"/>
    <xf numFmtId="1" fontId="0" fillId="20" borderId="56" xfId="0" applyNumberFormat="1" applyFill="1" applyBorder="1" applyProtection="1"/>
    <xf numFmtId="1" fontId="0" fillId="20" borderId="2" xfId="0" applyNumberFormat="1" applyFill="1" applyBorder="1" applyProtection="1"/>
    <xf numFmtId="1" fontId="0" fillId="20" borderId="57" xfId="0" applyNumberFormat="1" applyFill="1" applyBorder="1" applyProtection="1"/>
    <xf numFmtId="0" fontId="32" fillId="2" borderId="0" xfId="0" applyFont="1" applyFill="1" applyProtection="1">
      <protection hidden="1"/>
    </xf>
    <xf numFmtId="0" fontId="0" fillId="8" borderId="7" xfId="0" applyFont="1" applyFill="1" applyBorder="1" applyProtection="1">
      <protection hidden="1"/>
    </xf>
    <xf numFmtId="0" fontId="0" fillId="0" borderId="2" xfId="0" applyBorder="1" applyProtection="1">
      <protection hidden="1"/>
    </xf>
    <xf numFmtId="0" fontId="0" fillId="0" borderId="2" xfId="0" applyFont="1" applyBorder="1" applyProtection="1">
      <protection hidden="1"/>
    </xf>
    <xf numFmtId="0" fontId="106" fillId="3" borderId="131" xfId="0" applyFont="1" applyFill="1" applyBorder="1" applyAlignment="1" applyProtection="1">
      <alignment horizontal="right" vertical="center"/>
      <protection hidden="1"/>
    </xf>
    <xf numFmtId="0" fontId="7" fillId="3" borderId="134" xfId="0" applyFont="1" applyFill="1" applyBorder="1" applyAlignment="1" applyProtection="1">
      <alignment horizontal="right" vertical="center"/>
      <protection hidden="1"/>
    </xf>
    <xf numFmtId="0" fontId="36" fillId="2" borderId="0" xfId="0" applyFont="1" applyFill="1" applyBorder="1" applyAlignment="1" applyProtection="1">
      <alignment horizontal="left" vertical="center" wrapText="1"/>
    </xf>
    <xf numFmtId="0" fontId="37" fillId="4" borderId="2" xfId="0" applyFont="1" applyFill="1" applyBorder="1" applyAlignment="1" applyProtection="1">
      <alignment horizontal="left" vertical="center" wrapText="1"/>
      <protection hidden="1"/>
    </xf>
    <xf numFmtId="0" fontId="32" fillId="2" borderId="126" xfId="0" applyFont="1" applyFill="1" applyBorder="1" applyAlignment="1" applyProtection="1">
      <alignment horizontal="left" wrapText="1"/>
      <protection hidden="1"/>
    </xf>
    <xf numFmtId="0" fontId="32" fillId="2" borderId="0" xfId="0" applyFont="1" applyFill="1" applyBorder="1" applyAlignment="1" applyProtection="1">
      <alignment horizontal="left" wrapText="1"/>
      <protection hidden="1"/>
    </xf>
    <xf numFmtId="0" fontId="32" fillId="2" borderId="97" xfId="0" applyFont="1" applyFill="1" applyBorder="1" applyAlignment="1" applyProtection="1">
      <alignment horizontal="left" wrapText="1"/>
      <protection hidden="1"/>
    </xf>
    <xf numFmtId="0" fontId="32" fillId="2" borderId="111" xfId="0" applyFont="1" applyFill="1" applyBorder="1" applyAlignment="1" applyProtection="1">
      <alignment vertical="top" wrapText="1"/>
      <protection hidden="1"/>
    </xf>
    <xf numFmtId="0" fontId="32" fillId="2" borderId="1" xfId="0" applyFont="1" applyFill="1" applyBorder="1" applyAlignment="1" applyProtection="1">
      <alignment vertical="top" wrapText="1"/>
      <protection hidden="1"/>
    </xf>
    <xf numFmtId="0" fontId="32" fillId="2" borderId="127" xfId="0" applyFont="1" applyFill="1" applyBorder="1" applyAlignment="1" applyProtection="1">
      <alignment horizontal="center" vertical="top" wrapText="1"/>
      <protection hidden="1"/>
    </xf>
    <xf numFmtId="0" fontId="32" fillId="4" borderId="5" xfId="0" applyFont="1" applyFill="1" applyBorder="1" applyAlignment="1" applyProtection="1">
      <alignment wrapText="1"/>
      <protection hidden="1"/>
    </xf>
    <xf numFmtId="0" fontId="32" fillId="2" borderId="97" xfId="0" applyFont="1" applyFill="1" applyBorder="1" applyAlignment="1" applyProtection="1">
      <alignment vertical="top" wrapText="1"/>
      <protection hidden="1"/>
    </xf>
    <xf numFmtId="0" fontId="32" fillId="2" borderId="0" xfId="0" applyFont="1" applyFill="1" applyBorder="1" applyAlignment="1" applyProtection="1">
      <alignment horizontal="center" vertical="top" wrapText="1"/>
      <protection hidden="1"/>
    </xf>
    <xf numFmtId="0" fontId="32" fillId="4" borderId="5" xfId="0" applyFont="1" applyFill="1" applyBorder="1" applyAlignment="1" applyProtection="1">
      <alignment vertical="top" wrapText="1"/>
      <protection hidden="1"/>
    </xf>
    <xf numFmtId="0" fontId="32" fillId="2" borderId="12" xfId="0" applyFont="1" applyFill="1" applyBorder="1" applyAlignment="1" applyProtection="1">
      <alignment horizontal="center" vertical="top" wrapText="1"/>
      <protection hidden="1"/>
    </xf>
    <xf numFmtId="0" fontId="82" fillId="3" borderId="1" xfId="0" applyFont="1" applyFill="1" applyBorder="1" applyAlignment="1" applyProtection="1">
      <alignment vertical="top" wrapText="1"/>
      <protection hidden="1"/>
    </xf>
    <xf numFmtId="0" fontId="48" fillId="4" borderId="1" xfId="0" applyFont="1" applyFill="1" applyBorder="1" applyAlignment="1" applyProtection="1">
      <alignment horizontal="left" wrapText="1"/>
      <protection hidden="1"/>
    </xf>
    <xf numFmtId="0" fontId="35" fillId="4" borderId="34" xfId="0" applyFont="1" applyFill="1" applyBorder="1" applyAlignment="1" applyProtection="1">
      <alignment horizontal="left" vertical="center" wrapText="1"/>
      <protection hidden="1"/>
    </xf>
    <xf numFmtId="0" fontId="1" fillId="4" borderId="27" xfId="0" applyFont="1" applyFill="1" applyBorder="1" applyAlignment="1" applyProtection="1">
      <alignment horizontal="left" vertical="center" wrapText="1"/>
      <protection hidden="1"/>
    </xf>
    <xf numFmtId="165" fontId="35" fillId="4" borderId="28" xfId="0" applyNumberFormat="1" applyFont="1" applyFill="1" applyBorder="1" applyAlignment="1" applyProtection="1">
      <alignment horizontal="left" vertical="center" wrapText="1"/>
      <protection hidden="1"/>
    </xf>
    <xf numFmtId="0" fontId="57" fillId="2" borderId="0" xfId="0" applyFont="1" applyFill="1" applyBorder="1" applyAlignment="1" applyProtection="1">
      <alignment horizontal="left" wrapText="1"/>
      <protection hidden="1"/>
    </xf>
    <xf numFmtId="10" fontId="26" fillId="4" borderId="2" xfId="0" applyNumberFormat="1" applyFont="1" applyFill="1" applyBorder="1" applyAlignment="1" applyProtection="1">
      <alignment horizontal="center" vertical="center" wrapText="1"/>
      <protection hidden="1"/>
    </xf>
    <xf numFmtId="0" fontId="37" fillId="4" borderId="4" xfId="0" applyFont="1" applyFill="1" applyBorder="1" applyAlignment="1" applyProtection="1">
      <alignment horizontal="left" vertical="center" wrapText="1"/>
      <protection hidden="1"/>
    </xf>
    <xf numFmtId="0" fontId="90" fillId="4" borderId="15" xfId="0" applyFont="1" applyFill="1" applyBorder="1" applyAlignment="1" applyProtection="1">
      <alignment vertical="center" wrapText="1"/>
      <protection hidden="1"/>
    </xf>
    <xf numFmtId="0" fontId="32" fillId="4" borderId="15" xfId="0" applyFont="1" applyFill="1" applyBorder="1" applyAlignment="1" applyProtection="1">
      <alignment vertical="center" wrapText="1"/>
      <protection hidden="1"/>
    </xf>
    <xf numFmtId="0" fontId="37" fillId="4" borderId="2" xfId="0" applyFont="1" applyFill="1" applyBorder="1" applyAlignment="1" applyProtection="1">
      <alignment horizontal="left" vertical="center"/>
      <protection hidden="1"/>
    </xf>
    <xf numFmtId="0" fontId="30" fillId="2" borderId="0" xfId="0" applyFont="1" applyFill="1" applyBorder="1" applyAlignment="1" applyProtection="1">
      <alignment horizontal="left" vertical="center" wrapText="1"/>
      <protection hidden="1"/>
    </xf>
    <xf numFmtId="0" fontId="0" fillId="20" borderId="56" xfId="0" applyFill="1" applyBorder="1" applyProtection="1"/>
    <xf numFmtId="0" fontId="58" fillId="2" borderId="0" xfId="0" applyFont="1" applyFill="1" applyBorder="1" applyProtection="1">
      <protection hidden="1"/>
    </xf>
    <xf numFmtId="0" fontId="58" fillId="4" borderId="0" xfId="0" applyFont="1" applyFill="1" applyBorder="1"/>
    <xf numFmtId="0" fontId="0" fillId="22" borderId="59" xfId="0" applyFont="1" applyFill="1" applyBorder="1" applyAlignment="1" applyProtection="1">
      <alignment wrapText="1"/>
    </xf>
    <xf numFmtId="0" fontId="32" fillId="22" borderId="2" xfId="0" applyFont="1" applyFill="1" applyBorder="1" applyAlignment="1" applyProtection="1">
      <alignment wrapText="1"/>
    </xf>
    <xf numFmtId="0" fontId="0" fillId="12" borderId="0" xfId="0" applyFill="1" applyBorder="1" applyProtection="1"/>
    <xf numFmtId="0" fontId="24" fillId="0" borderId="0" xfId="0" applyFont="1" applyBorder="1" applyProtection="1"/>
    <xf numFmtId="0" fontId="24" fillId="0" borderId="0" xfId="0" applyFont="1" applyFill="1" applyBorder="1" applyAlignment="1" applyProtection="1">
      <alignment horizontal="right"/>
    </xf>
    <xf numFmtId="0" fontId="24" fillId="4" borderId="0" xfId="0" applyFont="1" applyFill="1" applyAlignment="1" applyProtection="1">
      <alignment vertical="center"/>
      <protection hidden="1"/>
    </xf>
    <xf numFmtId="0" fontId="24" fillId="4" borderId="0" xfId="0" applyFont="1" applyFill="1" applyAlignment="1" applyProtection="1">
      <protection hidden="1"/>
    </xf>
    <xf numFmtId="0" fontId="0" fillId="0" borderId="158" xfId="0" applyBorder="1" applyAlignment="1" applyProtection="1">
      <alignment wrapText="1"/>
      <protection hidden="1"/>
    </xf>
    <xf numFmtId="0" fontId="0" fillId="0" borderId="138" xfId="0" applyBorder="1" applyAlignment="1" applyProtection="1">
      <alignment wrapText="1"/>
      <protection hidden="1"/>
    </xf>
    <xf numFmtId="0" fontId="23" fillId="4" borderId="0" xfId="0" applyFont="1" applyFill="1"/>
    <xf numFmtId="0" fontId="32" fillId="8" borderId="0" xfId="0" applyFont="1" applyFill="1" applyProtection="1">
      <protection hidden="1"/>
    </xf>
    <xf numFmtId="0" fontId="0" fillId="21" borderId="0" xfId="0" applyFill="1" applyAlignment="1" applyProtection="1">
      <alignment wrapText="1"/>
    </xf>
    <xf numFmtId="0" fontId="23" fillId="21" borderId="81" xfId="0" applyFont="1" applyFill="1" applyBorder="1" applyAlignment="1" applyProtection="1">
      <alignment horizontal="center" wrapText="1"/>
    </xf>
    <xf numFmtId="0" fontId="0" fillId="25" borderId="0" xfId="0" applyFill="1"/>
    <xf numFmtId="0" fontId="23" fillId="25" borderId="149" xfId="0" applyFont="1" applyFill="1" applyBorder="1" applyAlignment="1" applyProtection="1">
      <alignment horizontal="center" wrapText="1"/>
    </xf>
    <xf numFmtId="0" fontId="0" fillId="26" borderId="0" xfId="0" applyFill="1" applyAlignment="1" applyProtection="1">
      <alignment wrapText="1"/>
    </xf>
    <xf numFmtId="0" fontId="23" fillId="26" borderId="81" xfId="0" applyFont="1" applyFill="1" applyBorder="1" applyAlignment="1" applyProtection="1">
      <alignment horizontal="center" wrapText="1"/>
    </xf>
    <xf numFmtId="0" fontId="0" fillId="27" borderId="0" xfId="0" applyFill="1" applyAlignment="1" applyProtection="1"/>
    <xf numFmtId="0" fontId="23" fillId="27" borderId="149" xfId="0" applyFont="1" applyFill="1" applyBorder="1" applyAlignment="1" applyProtection="1">
      <alignment horizontal="center" wrapText="1"/>
    </xf>
    <xf numFmtId="0" fontId="94" fillId="25" borderId="2" xfId="0" applyFont="1" applyFill="1" applyBorder="1" applyAlignment="1" applyProtection="1">
      <alignment horizontal="left" indent="2"/>
    </xf>
    <xf numFmtId="0" fontId="32" fillId="25" borderId="53" xfId="0" applyFont="1" applyFill="1" applyBorder="1" applyProtection="1"/>
    <xf numFmtId="0" fontId="32" fillId="25" borderId="56" xfId="0" applyFont="1" applyFill="1" applyBorder="1" applyProtection="1"/>
    <xf numFmtId="0" fontId="32" fillId="25" borderId="58" xfId="0" applyFont="1" applyFill="1" applyBorder="1" applyProtection="1"/>
    <xf numFmtId="0" fontId="32" fillId="25" borderId="3" xfId="0" applyFont="1" applyFill="1" applyBorder="1" applyProtection="1"/>
    <xf numFmtId="0" fontId="110" fillId="25" borderId="2" xfId="0" applyFont="1" applyFill="1" applyBorder="1" applyAlignment="1" applyProtection="1">
      <alignment horizontal="left" indent="2"/>
    </xf>
    <xf numFmtId="0" fontId="110" fillId="25" borderId="59" xfId="0" applyFont="1" applyFill="1" applyBorder="1" applyAlignment="1" applyProtection="1">
      <alignment horizontal="left" indent="2"/>
    </xf>
    <xf numFmtId="0" fontId="0" fillId="5" borderId="24" xfId="0" applyFont="1" applyFill="1" applyBorder="1" applyAlignment="1" applyProtection="1">
      <alignment horizontal="left" vertical="center" indent="5"/>
    </xf>
    <xf numFmtId="0" fontId="32" fillId="5" borderId="24" xfId="0" applyFont="1" applyFill="1" applyBorder="1" applyAlignment="1" applyProtection="1">
      <alignment horizontal="left" vertical="center" wrapText="1"/>
      <protection hidden="1"/>
    </xf>
    <xf numFmtId="0" fontId="0" fillId="5" borderId="24" xfId="0" applyFont="1" applyFill="1" applyBorder="1" applyAlignment="1" applyProtection="1">
      <alignment horizontal="left" vertical="center" wrapText="1"/>
      <protection hidden="1"/>
    </xf>
    <xf numFmtId="0" fontId="0" fillId="5" borderId="24" xfId="0" applyFont="1" applyFill="1" applyBorder="1" applyAlignment="1" applyProtection="1">
      <alignment horizontal="left" vertical="center" wrapText="1" indent="2"/>
      <protection hidden="1"/>
    </xf>
    <xf numFmtId="0" fontId="32" fillId="5" borderId="88" xfId="0" applyFont="1" applyFill="1" applyBorder="1" applyAlignment="1" applyProtection="1">
      <alignment horizontal="left" vertical="center" wrapText="1"/>
      <protection hidden="1"/>
    </xf>
    <xf numFmtId="0" fontId="0" fillId="5" borderId="24" xfId="0" applyFont="1" applyFill="1" applyBorder="1" applyAlignment="1" applyProtection="1">
      <alignment horizontal="left" vertical="center" wrapText="1" indent="4"/>
      <protection hidden="1"/>
    </xf>
    <xf numFmtId="0" fontId="0" fillId="5" borderId="24" xfId="0" applyFont="1" applyFill="1" applyBorder="1" applyAlignment="1" applyProtection="1">
      <alignment horizontal="left" vertical="center"/>
      <protection hidden="1"/>
    </xf>
    <xf numFmtId="0" fontId="58" fillId="4" borderId="12" xfId="0" applyFont="1" applyFill="1" applyBorder="1" applyProtection="1">
      <protection hidden="1"/>
    </xf>
    <xf numFmtId="0" fontId="74" fillId="4" borderId="0" xfId="0" applyFont="1" applyFill="1" applyProtection="1">
      <protection hidden="1"/>
    </xf>
    <xf numFmtId="0" fontId="58" fillId="0" borderId="0" xfId="0" applyFont="1" applyProtection="1">
      <protection hidden="1"/>
    </xf>
    <xf numFmtId="0" fontId="0" fillId="5" borderId="25" xfId="0" applyFill="1" applyBorder="1" applyAlignment="1" applyProtection="1">
      <alignment horizontal="left"/>
      <protection hidden="1"/>
    </xf>
    <xf numFmtId="0" fontId="0" fillId="5" borderId="31" xfId="0" applyFill="1" applyBorder="1" applyAlignment="1" applyProtection="1">
      <alignment horizontal="left"/>
      <protection hidden="1"/>
    </xf>
    <xf numFmtId="0" fontId="0" fillId="5" borderId="45" xfId="0" applyFill="1" applyBorder="1" applyAlignment="1" applyProtection="1">
      <alignment horizontal="left"/>
      <protection hidden="1"/>
    </xf>
    <xf numFmtId="0" fontId="32" fillId="5" borderId="25" xfId="0" applyFont="1" applyFill="1" applyBorder="1" applyAlignment="1" applyProtection="1">
      <alignment horizontal="center"/>
      <protection hidden="1"/>
    </xf>
    <xf numFmtId="0" fontId="0" fillId="5" borderId="25" xfId="0" applyFill="1" applyBorder="1" applyAlignment="1" applyProtection="1">
      <alignment horizontal="center"/>
      <protection hidden="1"/>
    </xf>
    <xf numFmtId="0" fontId="0" fillId="5" borderId="24" xfId="0" applyFill="1" applyBorder="1" applyAlignment="1" applyProtection="1">
      <alignment horizontal="left"/>
      <protection hidden="1"/>
    </xf>
    <xf numFmtId="0" fontId="58" fillId="4" borderId="0" xfId="0" applyFont="1" applyFill="1" applyBorder="1" applyProtection="1">
      <protection hidden="1"/>
    </xf>
    <xf numFmtId="0" fontId="32" fillId="4" borderId="0" xfId="0" applyFont="1" applyFill="1" applyProtection="1">
      <protection hidden="1"/>
    </xf>
    <xf numFmtId="0" fontId="23" fillId="4" borderId="0" xfId="0" applyFont="1" applyFill="1" applyProtection="1">
      <protection hidden="1"/>
    </xf>
    <xf numFmtId="0" fontId="23" fillId="4" borderId="0" xfId="0" applyFont="1" applyFill="1" applyBorder="1" applyProtection="1">
      <protection hidden="1"/>
    </xf>
    <xf numFmtId="16" fontId="0" fillId="0" borderId="2" xfId="0" applyNumberFormat="1" applyBorder="1"/>
    <xf numFmtId="0" fontId="103" fillId="5" borderId="6" xfId="0" applyFont="1" applyFill="1" applyBorder="1" applyProtection="1">
      <protection locked="0"/>
    </xf>
    <xf numFmtId="0" fontId="103" fillId="5" borderId="162" xfId="0" applyFont="1" applyFill="1" applyBorder="1" applyProtection="1">
      <protection locked="0"/>
    </xf>
    <xf numFmtId="0" fontId="0" fillId="12" borderId="5" xfId="0" applyFill="1" applyBorder="1" applyAlignment="1">
      <alignment wrapText="1"/>
    </xf>
    <xf numFmtId="0" fontId="0" fillId="0" borderId="7" xfId="0" applyBorder="1"/>
    <xf numFmtId="16" fontId="0" fillId="8" borderId="2" xfId="0" applyNumberFormat="1" applyFill="1" applyBorder="1"/>
    <xf numFmtId="0" fontId="0" fillId="8" borderId="2" xfId="0" applyFill="1" applyBorder="1" applyAlignment="1">
      <alignment wrapText="1"/>
    </xf>
    <xf numFmtId="0" fontId="0" fillId="8" borderId="15" xfId="0" applyFill="1" applyBorder="1"/>
    <xf numFmtId="0" fontId="32" fillId="8" borderId="2" xfId="0" applyFont="1" applyFill="1" applyBorder="1"/>
    <xf numFmtId="0" fontId="0" fillId="8" borderId="0" xfId="0" applyFill="1" applyBorder="1"/>
    <xf numFmtId="0" fontId="7" fillId="3" borderId="5" xfId="0" applyFont="1" applyFill="1" applyBorder="1" applyAlignment="1" applyProtection="1">
      <alignment horizontal="right" vertical="center"/>
      <protection hidden="1"/>
    </xf>
    <xf numFmtId="0" fontId="0" fillId="2" borderId="11" xfId="0" applyFill="1" applyBorder="1" applyProtection="1">
      <protection hidden="1"/>
    </xf>
    <xf numFmtId="0" fontId="32" fillId="0" borderId="0" xfId="0" applyFont="1"/>
    <xf numFmtId="0" fontId="32" fillId="25" borderId="12" xfId="0" applyFont="1" applyFill="1" applyBorder="1" applyProtection="1"/>
    <xf numFmtId="0" fontId="42" fillId="0" borderId="0" xfId="0" applyFont="1"/>
    <xf numFmtId="0" fontId="35" fillId="0" borderId="0" xfId="0" applyFont="1" applyAlignment="1">
      <alignment vertical="center"/>
    </xf>
    <xf numFmtId="0" fontId="114" fillId="0" borderId="0" xfId="0" applyFont="1" applyAlignment="1">
      <alignment vertical="center"/>
    </xf>
    <xf numFmtId="0" fontId="0" fillId="8" borderId="0" xfId="0" applyFill="1" applyAlignment="1">
      <alignment vertical="center"/>
    </xf>
    <xf numFmtId="0" fontId="0" fillId="8" borderId="0" xfId="0" applyFill="1" applyAlignment="1">
      <alignment wrapText="1"/>
    </xf>
    <xf numFmtId="0" fontId="0" fillId="0" borderId="0" xfId="0" applyFill="1"/>
    <xf numFmtId="0" fontId="1" fillId="18" borderId="2" xfId="0" applyFont="1" applyFill="1" applyBorder="1" applyAlignment="1" applyProtection="1">
      <alignment vertical="center" wrapText="1"/>
      <protection locked="0" hidden="1"/>
    </xf>
    <xf numFmtId="0" fontId="0" fillId="8" borderId="0" xfId="0" applyFill="1" applyAlignment="1">
      <alignment horizontal="left" vertical="center" indent="1"/>
    </xf>
    <xf numFmtId="0" fontId="0" fillId="8" borderId="0" xfId="0" applyFill="1" applyAlignment="1">
      <alignment horizontal="left" vertical="center" indent="4"/>
    </xf>
    <xf numFmtId="0" fontId="115" fillId="8" borderId="0" xfId="0" applyFont="1" applyFill="1" applyAlignment="1">
      <alignment horizontal="left" vertical="center" indent="9"/>
    </xf>
    <xf numFmtId="0" fontId="119" fillId="8" borderId="0" xfId="0" applyFont="1" applyFill="1" applyAlignment="1">
      <alignment horizontal="left" vertical="center" indent="14"/>
    </xf>
    <xf numFmtId="0" fontId="0" fillId="2" borderId="2" xfId="0" applyFill="1" applyBorder="1" applyProtection="1">
      <protection locked="0" hidden="1"/>
    </xf>
    <xf numFmtId="0" fontId="0" fillId="0" borderId="0" xfId="0" applyFont="1" applyBorder="1" applyAlignment="1" applyProtection="1">
      <alignment horizontal="left" vertical="top" wrapText="1"/>
    </xf>
    <xf numFmtId="0" fontId="84" fillId="0" borderId="0" xfId="0" applyFont="1" applyBorder="1" applyAlignment="1" applyProtection="1">
      <alignment horizontal="left" vertical="top"/>
    </xf>
    <xf numFmtId="0" fontId="35" fillId="2" borderId="0" xfId="0" applyFont="1" applyFill="1" applyAlignment="1" applyProtection="1">
      <alignment horizontal="left" vertical="top" wrapText="1"/>
      <protection hidden="1"/>
    </xf>
    <xf numFmtId="0" fontId="35" fillId="2" borderId="11" xfId="0" applyFont="1" applyFill="1" applyBorder="1" applyAlignment="1" applyProtection="1">
      <alignment horizontal="left" vertical="top" wrapText="1"/>
      <protection hidden="1"/>
    </xf>
    <xf numFmtId="0" fontId="35" fillId="4" borderId="0" xfId="0" applyFont="1" applyFill="1" applyBorder="1" applyAlignment="1" applyProtection="1">
      <alignment horizontal="left" vertical="top" wrapText="1"/>
      <protection hidden="1"/>
    </xf>
    <xf numFmtId="0" fontId="1" fillId="4" borderId="4"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9" fillId="4" borderId="40" xfId="0" applyFont="1" applyFill="1" applyBorder="1" applyAlignment="1" applyProtection="1">
      <alignment horizontal="center" vertical="top" wrapText="1"/>
    </xf>
    <xf numFmtId="0" fontId="9" fillId="4" borderId="0" xfId="0" applyFont="1" applyFill="1" applyAlignment="1" applyProtection="1">
      <alignment horizontal="center" vertical="top" wrapText="1"/>
    </xf>
    <xf numFmtId="0" fontId="44" fillId="2" borderId="51" xfId="0" applyFont="1" applyFill="1" applyBorder="1" applyAlignment="1" applyProtection="1">
      <alignment horizontal="center" wrapText="1"/>
    </xf>
    <xf numFmtId="0" fontId="44" fillId="2" borderId="1" xfId="0" applyFont="1" applyFill="1" applyBorder="1" applyAlignment="1" applyProtection="1">
      <alignment horizontal="center" wrapText="1"/>
    </xf>
    <xf numFmtId="0" fontId="44" fillId="2" borderId="41" xfId="0" applyFont="1" applyFill="1" applyBorder="1" applyAlignment="1" applyProtection="1">
      <alignment horizontal="center" wrapText="1"/>
    </xf>
    <xf numFmtId="0" fontId="0" fillId="5" borderId="137" xfId="0" applyFont="1" applyFill="1" applyBorder="1" applyAlignment="1" applyProtection="1">
      <alignment horizontal="left" vertical="top" wrapText="1"/>
    </xf>
    <xf numFmtId="0" fontId="0" fillId="5" borderId="135" xfId="0" applyFont="1" applyFill="1" applyBorder="1" applyAlignment="1" applyProtection="1">
      <alignment horizontal="left" vertical="top" wrapText="1"/>
    </xf>
    <xf numFmtId="0" fontId="55" fillId="0" borderId="148" xfId="0" applyFont="1" applyBorder="1" applyAlignment="1" applyProtection="1">
      <alignment horizontal="left" vertical="top"/>
      <protection locked="0"/>
    </xf>
    <xf numFmtId="0" fontId="55" fillId="0" borderId="0" xfId="0" applyFont="1" applyBorder="1" applyAlignment="1" applyProtection="1">
      <alignment horizontal="left" vertical="top"/>
      <protection locked="0"/>
    </xf>
    <xf numFmtId="0" fontId="55" fillId="0" borderId="12" xfId="0" applyFont="1" applyBorder="1" applyAlignment="1" applyProtection="1">
      <alignment horizontal="left" vertical="top"/>
      <protection locked="0"/>
    </xf>
    <xf numFmtId="0" fontId="55" fillId="0" borderId="0" xfId="0" applyFont="1" applyBorder="1" applyAlignment="1" applyProtection="1">
      <alignment horizontal="left"/>
      <protection locked="0"/>
    </xf>
    <xf numFmtId="0" fontId="55" fillId="0" borderId="12" xfId="0" applyFont="1" applyBorder="1" applyAlignment="1" applyProtection="1">
      <alignment horizontal="left"/>
      <protection locked="0"/>
    </xf>
    <xf numFmtId="0" fontId="55" fillId="0" borderId="148" xfId="0" applyFont="1" applyBorder="1" applyAlignment="1" applyProtection="1">
      <alignment horizontal="left"/>
      <protection locked="0"/>
    </xf>
    <xf numFmtId="0" fontId="54" fillId="0" borderId="120" xfId="0" applyFont="1" applyFill="1" applyBorder="1" applyAlignment="1" applyProtection="1">
      <alignment horizontal="left" vertical="center"/>
      <protection locked="0"/>
    </xf>
    <xf numFmtId="0" fontId="54" fillId="0" borderId="121" xfId="0" applyFont="1" applyFill="1" applyBorder="1" applyAlignment="1" applyProtection="1">
      <alignment horizontal="left" vertical="center"/>
      <protection locked="0"/>
    </xf>
    <xf numFmtId="0" fontId="54" fillId="0" borderId="122" xfId="0" applyFont="1" applyFill="1" applyBorder="1" applyAlignment="1" applyProtection="1">
      <alignment horizontal="left" vertical="center"/>
      <protection locked="0"/>
    </xf>
    <xf numFmtId="0" fontId="54" fillId="0" borderId="120" xfId="0" applyFont="1" applyFill="1" applyBorder="1" applyAlignment="1" applyProtection="1">
      <alignment horizontal="left" vertical="top"/>
      <protection locked="0"/>
    </xf>
    <xf numFmtId="0" fontId="54" fillId="0" borderId="121" xfId="0" applyFont="1" applyFill="1" applyBorder="1" applyAlignment="1" applyProtection="1">
      <alignment horizontal="left" vertical="top"/>
      <protection locked="0"/>
    </xf>
    <xf numFmtId="0" fontId="54" fillId="0" borderId="122" xfId="0" applyFont="1" applyFill="1" applyBorder="1" applyAlignment="1" applyProtection="1">
      <alignment horizontal="left" vertical="top"/>
      <protection locked="0"/>
    </xf>
    <xf numFmtId="0" fontId="51" fillId="19" borderId="2" xfId="0" applyFont="1" applyFill="1" applyBorder="1" applyAlignment="1">
      <alignment horizontal="left" vertical="top" wrapText="1"/>
    </xf>
    <xf numFmtId="0" fontId="51" fillId="19" borderId="2" xfId="0" applyFont="1" applyFill="1" applyBorder="1" applyAlignment="1">
      <alignment horizontal="center" vertical="top" wrapText="1"/>
    </xf>
    <xf numFmtId="0" fontId="98" fillId="19" borderId="2" xfId="0" applyFont="1" applyFill="1" applyBorder="1" applyAlignment="1">
      <alignment horizontal="center" vertical="center" wrapText="1"/>
    </xf>
    <xf numFmtId="0" fontId="54" fillId="0" borderId="144" xfId="0" applyFont="1" applyFill="1" applyBorder="1" applyAlignment="1" applyProtection="1">
      <alignment horizontal="left" vertical="top"/>
      <protection locked="0"/>
    </xf>
    <xf numFmtId="0" fontId="54" fillId="0" borderId="145" xfId="0" applyFont="1" applyFill="1" applyBorder="1" applyAlignment="1" applyProtection="1">
      <alignment horizontal="left" vertical="top"/>
      <protection locked="0"/>
    </xf>
    <xf numFmtId="0" fontId="54" fillId="0" borderId="146" xfId="0" applyFont="1" applyFill="1" applyBorder="1" applyAlignment="1" applyProtection="1">
      <alignment horizontal="left" vertical="top"/>
      <protection locked="0"/>
    </xf>
    <xf numFmtId="0" fontId="54" fillId="0" borderId="147" xfId="0" applyFont="1" applyFill="1" applyBorder="1" applyAlignment="1" applyProtection="1">
      <alignment horizontal="left" vertical="top"/>
      <protection locked="0"/>
    </xf>
    <xf numFmtId="0" fontId="54" fillId="0" borderId="0" xfId="0" applyFont="1" applyFill="1" applyBorder="1" applyAlignment="1" applyProtection="1">
      <alignment horizontal="left" vertical="top"/>
      <protection locked="0"/>
    </xf>
    <xf numFmtId="0" fontId="55" fillId="0" borderId="148"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2" xfId="0" applyFont="1" applyBorder="1" applyAlignment="1" applyProtection="1">
      <alignment horizontal="left" vertical="top" wrapText="1"/>
      <protection locked="0"/>
    </xf>
    <xf numFmtId="0" fontId="51" fillId="0" borderId="148" xfId="0" applyFont="1" applyBorder="1" applyAlignment="1">
      <alignment horizontal="left" vertical="top"/>
    </xf>
    <xf numFmtId="0" fontId="51" fillId="0" borderId="0" xfId="0" applyFont="1" applyAlignment="1">
      <alignment horizontal="left" vertical="top"/>
    </xf>
    <xf numFmtId="0" fontId="51" fillId="0" borderId="12" xfId="0" applyFont="1" applyBorder="1" applyAlignment="1">
      <alignment horizontal="left" vertical="top"/>
    </xf>
    <xf numFmtId="0" fontId="54" fillId="0" borderId="151" xfId="0" applyFont="1" applyFill="1" applyBorder="1" applyAlignment="1" applyProtection="1">
      <alignment horizontal="left" vertical="top"/>
      <protection locked="0"/>
    </xf>
    <xf numFmtId="0" fontId="0" fillId="0" borderId="0" xfId="0" applyAlignment="1">
      <alignment horizontal="center"/>
    </xf>
    <xf numFmtId="0" fontId="90" fillId="10" borderId="4" xfId="0" applyFont="1" applyFill="1" applyBorder="1" applyAlignment="1" applyProtection="1">
      <alignment horizontal="center" vertical="center"/>
    </xf>
    <xf numFmtId="0" fontId="90" fillId="10" borderId="6" xfId="0" applyFont="1" applyFill="1" applyBorder="1" applyAlignment="1" applyProtection="1">
      <alignment horizontal="center" vertical="center"/>
    </xf>
    <xf numFmtId="0" fontId="90" fillId="10" borderId="7" xfId="0" applyFont="1" applyFill="1" applyBorder="1" applyAlignment="1" applyProtection="1">
      <alignment horizontal="center" vertical="center"/>
    </xf>
    <xf numFmtId="0" fontId="23" fillId="10" borderId="79" xfId="0" applyFont="1" applyFill="1" applyBorder="1" applyAlignment="1" applyProtection="1">
      <alignment horizontal="center" wrapText="1"/>
      <protection hidden="1"/>
    </xf>
    <xf numFmtId="0" fontId="23" fillId="10" borderId="54" xfId="0" applyFont="1" applyFill="1" applyBorder="1" applyAlignment="1" applyProtection="1">
      <alignment horizontal="center" wrapText="1"/>
      <protection hidden="1"/>
    </xf>
    <xf numFmtId="0" fontId="23" fillId="10" borderId="55" xfId="0" applyFont="1" applyFill="1" applyBorder="1" applyAlignment="1" applyProtection="1">
      <alignment horizontal="center" wrapText="1"/>
      <protection hidden="1"/>
    </xf>
    <xf numFmtId="0" fontId="23" fillId="10" borderId="21" xfId="0" applyFont="1" applyFill="1" applyBorder="1" applyAlignment="1" applyProtection="1">
      <alignment horizontal="center"/>
    </xf>
    <xf numFmtId="0" fontId="23" fillId="10" borderId="22" xfId="0" applyFont="1" applyFill="1" applyBorder="1" applyAlignment="1" applyProtection="1">
      <alignment horizontal="center"/>
    </xf>
    <xf numFmtId="0" fontId="23" fillId="10" borderId="53" xfId="0" applyFont="1" applyFill="1" applyBorder="1" applyAlignment="1" applyProtection="1">
      <alignment horizontal="center" wrapText="1"/>
      <protection hidden="1"/>
    </xf>
    <xf numFmtId="0" fontId="0" fillId="0" borderId="53" xfId="0" applyBorder="1" applyAlignment="1" applyProtection="1">
      <alignment horizontal="center"/>
    </xf>
    <xf numFmtId="0" fontId="0" fillId="0" borderId="54" xfId="0" applyBorder="1" applyAlignment="1" applyProtection="1">
      <alignment horizontal="center"/>
    </xf>
    <xf numFmtId="0" fontId="0" fillId="0" borderId="55" xfId="0" applyBorder="1" applyAlignment="1" applyProtection="1">
      <alignment horizontal="center"/>
    </xf>
    <xf numFmtId="0" fontId="0" fillId="0" borderId="56" xfId="0" applyBorder="1" applyAlignment="1" applyProtection="1">
      <alignment horizontal="center"/>
    </xf>
    <xf numFmtId="0" fontId="0" fillId="0" borderId="2" xfId="0" applyBorder="1" applyAlignment="1" applyProtection="1">
      <alignment horizontal="center"/>
    </xf>
    <xf numFmtId="0" fontId="0" fillId="0" borderId="57" xfId="0" applyBorder="1" applyAlignment="1" applyProtection="1">
      <alignment horizontal="center"/>
    </xf>
    <xf numFmtId="0" fontId="23" fillId="10" borderId="2" xfId="0" applyFont="1" applyFill="1" applyBorder="1" applyAlignment="1" applyProtection="1">
      <alignment horizontal="center"/>
      <protection hidden="1"/>
    </xf>
    <xf numFmtId="0" fontId="0" fillId="0" borderId="58" xfId="0" applyFont="1" applyBorder="1" applyAlignment="1" applyProtection="1">
      <alignment horizontal="center"/>
    </xf>
    <xf numFmtId="0" fontId="0" fillId="0" borderId="59" xfId="0" applyFont="1" applyBorder="1" applyAlignment="1" applyProtection="1">
      <alignment horizontal="center"/>
    </xf>
    <xf numFmtId="0" fontId="0" fillId="0" borderId="60" xfId="0" applyFont="1" applyBorder="1" applyAlignment="1" applyProtection="1">
      <alignment horizontal="center"/>
    </xf>
    <xf numFmtId="0" fontId="37" fillId="8" borderId="10" xfId="0" applyFont="1" applyFill="1" applyBorder="1" applyAlignment="1" applyProtection="1">
      <alignment horizontal="center" wrapText="1"/>
    </xf>
    <xf numFmtId="0" fontId="37" fillId="8" borderId="3" xfId="0" applyFont="1" applyFill="1" applyBorder="1" applyAlignment="1" applyProtection="1">
      <alignment horizontal="center" wrapText="1"/>
    </xf>
    <xf numFmtId="0" fontId="0" fillId="9" borderId="21" xfId="0" applyFill="1" applyBorder="1" applyAlignment="1" applyProtection="1">
      <alignment horizontal="center" vertical="center"/>
    </xf>
    <xf numFmtId="0" fontId="0" fillId="9" borderId="22" xfId="0" applyFill="1" applyBorder="1" applyAlignment="1" applyProtection="1">
      <alignment horizontal="center" vertical="center"/>
    </xf>
    <xf numFmtId="0" fontId="0" fillId="9" borderId="23" xfId="0" applyFill="1" applyBorder="1" applyAlignment="1" applyProtection="1">
      <alignment horizontal="center" vertical="center"/>
    </xf>
    <xf numFmtId="0" fontId="0" fillId="8" borderId="72" xfId="0" applyFill="1" applyBorder="1" applyAlignment="1" applyProtection="1">
      <alignment horizontal="center"/>
    </xf>
    <xf numFmtId="0" fontId="0" fillId="8" borderId="73" xfId="0" applyFill="1" applyBorder="1" applyAlignment="1" applyProtection="1">
      <alignment horizontal="center"/>
    </xf>
    <xf numFmtId="0" fontId="0" fillId="8" borderId="74" xfId="0" applyFill="1" applyBorder="1" applyAlignment="1" applyProtection="1">
      <alignment horizontal="center"/>
    </xf>
    <xf numFmtId="0" fontId="69" fillId="4" borderId="13" xfId="0" applyFont="1" applyFill="1" applyBorder="1" applyAlignment="1" applyProtection="1">
      <alignment horizontal="center"/>
      <protection hidden="1"/>
    </xf>
    <xf numFmtId="0" fontId="69" fillId="4" borderId="14" xfId="0" applyFont="1" applyFill="1" applyBorder="1" applyAlignment="1" applyProtection="1">
      <alignment horizontal="center"/>
      <protection hidden="1"/>
    </xf>
    <xf numFmtId="0" fontId="58" fillId="5" borderId="100" xfId="0" applyFont="1" applyFill="1" applyBorder="1" applyAlignment="1" applyProtection="1">
      <alignment horizontal="center"/>
      <protection hidden="1"/>
    </xf>
    <xf numFmtId="0" fontId="58" fillId="5" borderId="107" xfId="0" applyFont="1" applyFill="1" applyBorder="1" applyAlignment="1" applyProtection="1">
      <alignment horizontal="center"/>
      <protection hidden="1"/>
    </xf>
    <xf numFmtId="164" fontId="58" fillId="5" borderId="101" xfId="0" applyNumberFormat="1" applyFont="1" applyFill="1" applyBorder="1" applyAlignment="1" applyProtection="1">
      <alignment horizontal="center"/>
      <protection hidden="1"/>
    </xf>
    <xf numFmtId="164" fontId="58" fillId="5" borderId="104" xfId="0" applyNumberFormat="1" applyFont="1" applyFill="1" applyBorder="1" applyAlignment="1" applyProtection="1">
      <alignment horizontal="center"/>
      <protection hidden="1"/>
    </xf>
    <xf numFmtId="0" fontId="58" fillId="5" borderId="114" xfId="0" applyFont="1" applyFill="1" applyBorder="1" applyAlignment="1" applyProtection="1">
      <alignment horizontal="center"/>
      <protection hidden="1"/>
    </xf>
    <xf numFmtId="0" fontId="58" fillId="5" borderId="105" xfId="0" applyFont="1" applyFill="1" applyBorder="1" applyAlignment="1" applyProtection="1">
      <alignment horizontal="center"/>
      <protection hidden="1"/>
    </xf>
    <xf numFmtId="0" fontId="68" fillId="4" borderId="13" xfId="0" applyFont="1" applyFill="1" applyBorder="1" applyAlignment="1" applyProtection="1">
      <alignment horizontal="center" vertical="center"/>
      <protection hidden="1"/>
    </xf>
    <xf numFmtId="0" fontId="68" fillId="4" borderId="14" xfId="0" applyFont="1" applyFill="1" applyBorder="1" applyAlignment="1" applyProtection="1">
      <alignment horizontal="center" vertical="center"/>
      <protection hidden="1"/>
    </xf>
    <xf numFmtId="0" fontId="70" fillId="5" borderId="100" xfId="0" applyFont="1" applyFill="1" applyBorder="1" applyAlignment="1" applyProtection="1">
      <alignment horizontal="center"/>
      <protection hidden="1"/>
    </xf>
    <xf numFmtId="0" fontId="70" fillId="5" borderId="107" xfId="0" applyFont="1" applyFill="1" applyBorder="1" applyAlignment="1" applyProtection="1">
      <alignment horizontal="center"/>
      <protection hidden="1"/>
    </xf>
    <xf numFmtId="164" fontId="70" fillId="5" borderId="101" xfId="0" applyNumberFormat="1" applyFont="1" applyFill="1" applyBorder="1" applyAlignment="1" applyProtection="1">
      <alignment horizontal="center"/>
      <protection hidden="1"/>
    </xf>
    <xf numFmtId="164" fontId="70" fillId="5" borderId="104" xfId="0" applyNumberFormat="1" applyFont="1" applyFill="1" applyBorder="1" applyAlignment="1" applyProtection="1">
      <alignment horizontal="center"/>
      <protection hidden="1"/>
    </xf>
    <xf numFmtId="0" fontId="70" fillId="5" borderId="114" xfId="0" applyFont="1" applyFill="1" applyBorder="1" applyAlignment="1" applyProtection="1">
      <alignment horizontal="center"/>
      <protection hidden="1"/>
    </xf>
    <xf numFmtId="0" fontId="70" fillId="5" borderId="105" xfId="0" applyFont="1" applyFill="1" applyBorder="1" applyAlignment="1" applyProtection="1">
      <alignment horizontal="center"/>
      <protection hidden="1"/>
    </xf>
    <xf numFmtId="0" fontId="72" fillId="2" borderId="8" xfId="0" applyFont="1" applyFill="1" applyBorder="1" applyAlignment="1" applyProtection="1">
      <alignment horizontal="center" wrapText="1"/>
      <protection hidden="1"/>
    </xf>
    <xf numFmtId="0" fontId="72" fillId="2" borderId="12" xfId="0" applyFont="1" applyFill="1" applyBorder="1" applyAlignment="1" applyProtection="1">
      <alignment horizontal="center" wrapText="1"/>
      <protection hidden="1"/>
    </xf>
    <xf numFmtId="0" fontId="71" fillId="2" borderId="0" xfId="0" applyFont="1" applyFill="1" applyAlignment="1" applyProtection="1">
      <alignment horizontal="left" vertical="top" wrapText="1"/>
      <protection hidden="1"/>
    </xf>
    <xf numFmtId="0" fontId="70" fillId="4" borderId="2" xfId="0" applyFont="1" applyFill="1" applyBorder="1" applyAlignment="1" applyProtection="1">
      <alignment horizontal="center"/>
      <protection locked="0" hidden="1"/>
    </xf>
    <xf numFmtId="0" fontId="72" fillId="2" borderId="0" xfId="0" applyFont="1" applyFill="1" applyBorder="1" applyAlignment="1" applyProtection="1">
      <alignment horizontal="center" wrapText="1"/>
      <protection hidden="1"/>
    </xf>
    <xf numFmtId="0" fontId="14" fillId="2" borderId="0" xfId="0" applyFont="1" applyFill="1" applyAlignment="1" applyProtection="1">
      <alignment vertical="center" wrapText="1"/>
      <protection hidden="1"/>
    </xf>
    <xf numFmtId="0" fontId="14" fillId="0" borderId="0" xfId="0" applyFont="1" applyAlignment="1" applyProtection="1">
      <alignment vertical="center" wrapText="1"/>
      <protection hidden="1"/>
    </xf>
    <xf numFmtId="0" fontId="0" fillId="4" borderId="2" xfId="0" applyFont="1" applyFill="1" applyBorder="1" applyAlignment="1" applyProtection="1">
      <alignment wrapText="1"/>
      <protection hidden="1"/>
    </xf>
    <xf numFmtId="0" fontId="0" fillId="4" borderId="2" xfId="0" applyFont="1" applyFill="1" applyBorder="1" applyProtection="1">
      <protection hidden="1"/>
    </xf>
    <xf numFmtId="0" fontId="112" fillId="2" borderId="2" xfId="0" applyFont="1" applyFill="1" applyBorder="1" applyAlignment="1" applyProtection="1">
      <alignment horizontal="left" vertical="center" wrapText="1"/>
      <protection hidden="1"/>
    </xf>
    <xf numFmtId="0" fontId="1" fillId="2" borderId="2" xfId="0" applyFont="1" applyFill="1" applyBorder="1" applyAlignment="1" applyProtection="1">
      <alignment horizontal="left" vertical="center" wrapText="1"/>
      <protection hidden="1"/>
    </xf>
    <xf numFmtId="0" fontId="21" fillId="3" borderId="77" xfId="0" applyFont="1" applyFill="1" applyBorder="1" applyAlignment="1" applyProtection="1">
      <alignment horizontal="left" vertical="top" wrapText="1"/>
      <protection hidden="1"/>
    </xf>
    <xf numFmtId="0" fontId="21" fillId="3" borderId="106" xfId="0" applyFont="1" applyFill="1" applyBorder="1" applyAlignment="1" applyProtection="1">
      <alignment horizontal="left" vertical="top" wrapText="1"/>
      <protection hidden="1"/>
    </xf>
    <xf numFmtId="0" fontId="7" fillId="3" borderId="4" xfId="0" applyFont="1" applyFill="1" applyBorder="1" applyAlignment="1" applyProtection="1">
      <alignment horizontal="left"/>
      <protection hidden="1"/>
    </xf>
    <xf numFmtId="0" fontId="7" fillId="3" borderId="6" xfId="0" applyFont="1" applyFill="1" applyBorder="1" applyAlignment="1" applyProtection="1">
      <alignment horizontal="left"/>
      <protection hidden="1"/>
    </xf>
    <xf numFmtId="0" fontId="7" fillId="3" borderId="7" xfId="0" applyFont="1" applyFill="1" applyBorder="1" applyAlignment="1" applyProtection="1">
      <alignment horizontal="left"/>
      <protection hidden="1"/>
    </xf>
    <xf numFmtId="0" fontId="1" fillId="2" borderId="4" xfId="0" applyFont="1" applyFill="1" applyBorder="1" applyAlignment="1" applyProtection="1">
      <alignment horizontal="left" vertical="center" wrapText="1"/>
      <protection hidden="1"/>
    </xf>
    <xf numFmtId="0" fontId="1" fillId="2" borderId="6" xfId="0" applyFont="1" applyFill="1" applyBorder="1" applyAlignment="1" applyProtection="1">
      <alignment horizontal="left" vertical="center" wrapText="1"/>
      <protection hidden="1"/>
    </xf>
    <xf numFmtId="0" fontId="1" fillId="2" borderId="7" xfId="0" applyFont="1" applyFill="1" applyBorder="1" applyAlignment="1" applyProtection="1">
      <alignment horizontal="left" vertical="center" wrapText="1"/>
      <protection hidden="1"/>
    </xf>
    <xf numFmtId="0" fontId="112" fillId="2" borderId="4" xfId="0" applyFont="1" applyFill="1" applyBorder="1" applyAlignment="1" applyProtection="1">
      <alignment horizontal="left" vertical="center" wrapText="1"/>
      <protection hidden="1"/>
    </xf>
    <xf numFmtId="0" fontId="112" fillId="2" borderId="6" xfId="0" applyFont="1" applyFill="1" applyBorder="1" applyAlignment="1" applyProtection="1">
      <alignment horizontal="left" vertical="center" wrapText="1"/>
      <protection hidden="1"/>
    </xf>
    <xf numFmtId="0" fontId="112" fillId="2" borderId="7" xfId="0" applyFont="1" applyFill="1" applyBorder="1" applyAlignment="1" applyProtection="1">
      <alignment horizontal="left" vertical="center" wrapText="1"/>
      <protection hidden="1"/>
    </xf>
    <xf numFmtId="0" fontId="111" fillId="2" borderId="2" xfId="0" applyFont="1" applyFill="1" applyBorder="1" applyAlignment="1" applyProtection="1">
      <alignment horizontal="left" vertical="center" wrapText="1"/>
      <protection hidden="1"/>
    </xf>
    <xf numFmtId="0" fontId="32" fillId="4" borderId="2" xfId="0" applyFont="1" applyFill="1" applyBorder="1" applyAlignment="1" applyProtection="1">
      <alignment horizontal="left" vertical="center" wrapText="1"/>
      <protection hidden="1"/>
    </xf>
    <xf numFmtId="0" fontId="0" fillId="4" borderId="2" xfId="0" applyFont="1" applyFill="1" applyBorder="1" applyAlignment="1" applyProtection="1">
      <alignment horizontal="left" vertical="center"/>
      <protection hidden="1"/>
    </xf>
    <xf numFmtId="0" fontId="0" fillId="4" borderId="2" xfId="0" applyFont="1" applyFill="1" applyBorder="1" applyAlignment="1" applyProtection="1">
      <alignment horizontal="left" vertical="center" wrapText="1"/>
      <protection hidden="1"/>
    </xf>
    <xf numFmtId="0" fontId="0" fillId="8" borderId="0" xfId="0" applyFill="1" applyAlignment="1">
      <alignment horizontal="left" vertical="top" wrapText="1"/>
    </xf>
  </cellXfs>
  <cellStyles count="5">
    <cellStyle name="Good 2" xfId="3" xr:uid="{00000000-0005-0000-0000-000000000000}"/>
    <cellStyle name="Normal" xfId="0" builtinId="0"/>
    <cellStyle name="Normal 3" xfId="1" xr:uid="{00000000-0005-0000-0000-000002000000}"/>
    <cellStyle name="Percent" xfId="2" builtinId="5"/>
    <cellStyle name="Percent 2" xfId="4" xr:uid="{A3F32B65-5251-4038-894E-02D69E32DDC8}"/>
  </cellStyles>
  <dxfs count="4172">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5"/>
        </patternFill>
      </fill>
    </dxf>
    <dxf>
      <fill>
        <patternFill>
          <bgColor theme="6"/>
        </patternFill>
      </fill>
    </dxf>
    <dxf>
      <fill>
        <patternFill>
          <bgColor rgb="FFFFFF00"/>
        </patternFill>
      </fill>
    </dxf>
    <dxf>
      <fill>
        <patternFill>
          <bgColor theme="5"/>
        </patternFill>
      </fill>
    </dxf>
    <dxf>
      <fill>
        <patternFill>
          <bgColor theme="6"/>
        </patternFill>
      </fill>
    </dxf>
    <dxf>
      <fill>
        <patternFill>
          <bgColor rgb="FFFFFF00"/>
        </patternFill>
      </fill>
    </dxf>
    <dxf>
      <fill>
        <patternFill>
          <bgColor theme="5"/>
        </patternFill>
      </fill>
    </dxf>
    <dxf>
      <fill>
        <patternFill>
          <bgColor theme="6"/>
        </patternFill>
      </fill>
    </dxf>
    <dxf>
      <fill>
        <patternFill>
          <bgColor rgb="FFFFFF00"/>
        </patternFill>
      </fill>
    </dxf>
    <dxf>
      <fill>
        <patternFill>
          <bgColor theme="5"/>
        </patternFill>
      </fill>
    </dxf>
    <dxf>
      <fill>
        <patternFill>
          <bgColor theme="6"/>
        </patternFill>
      </fill>
    </dxf>
    <dxf>
      <fill>
        <patternFill>
          <bgColor rgb="FFFFFF0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5"/>
        </patternFill>
      </fill>
    </dxf>
    <dxf>
      <fill>
        <patternFill>
          <bgColor theme="6"/>
        </patternFill>
      </fill>
    </dxf>
    <dxf>
      <fill>
        <patternFill>
          <bgColor rgb="FFFFFF00"/>
        </patternFill>
      </fill>
    </dxf>
    <dxf>
      <fill>
        <patternFill>
          <bgColor theme="5"/>
        </patternFill>
      </fill>
    </dxf>
    <dxf>
      <fill>
        <patternFill>
          <bgColor theme="6"/>
        </patternFill>
      </fill>
    </dxf>
    <dxf>
      <fill>
        <patternFill>
          <bgColor rgb="FFFFFF00"/>
        </patternFill>
      </fill>
    </dxf>
    <dxf>
      <fill>
        <patternFill>
          <bgColor theme="5"/>
        </patternFill>
      </fill>
    </dxf>
    <dxf>
      <fill>
        <patternFill>
          <bgColor theme="6"/>
        </patternFill>
      </fill>
    </dxf>
    <dxf>
      <fill>
        <patternFill>
          <bgColor rgb="FFFFFF00"/>
        </patternFill>
      </fill>
    </dxf>
    <dxf>
      <fill>
        <patternFill>
          <bgColor theme="5"/>
        </patternFill>
      </fill>
    </dxf>
    <dxf>
      <fill>
        <patternFill>
          <bgColor theme="6"/>
        </patternFill>
      </fill>
    </dxf>
    <dxf>
      <fill>
        <patternFill>
          <bgColor rgb="FFFFFF0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5"/>
        </patternFill>
      </fill>
    </dxf>
    <dxf>
      <fill>
        <patternFill>
          <bgColor theme="6"/>
        </patternFill>
      </fill>
    </dxf>
    <dxf>
      <fill>
        <patternFill>
          <bgColor rgb="FFFFFF00"/>
        </patternFill>
      </fill>
    </dxf>
    <dxf>
      <fill>
        <patternFill>
          <bgColor theme="5"/>
        </patternFill>
      </fill>
    </dxf>
    <dxf>
      <fill>
        <patternFill>
          <bgColor theme="6"/>
        </patternFill>
      </fill>
    </dxf>
    <dxf>
      <fill>
        <patternFill>
          <bgColor rgb="FFFFFF00"/>
        </patternFill>
      </fill>
    </dxf>
    <dxf>
      <fill>
        <patternFill>
          <bgColor theme="5"/>
        </patternFill>
      </fill>
    </dxf>
    <dxf>
      <fill>
        <patternFill>
          <bgColor theme="6"/>
        </patternFill>
      </fill>
    </dxf>
    <dxf>
      <fill>
        <patternFill>
          <bgColor rgb="FFFFFF00"/>
        </patternFill>
      </fill>
    </dxf>
    <dxf>
      <fill>
        <patternFill>
          <bgColor theme="5"/>
        </patternFill>
      </fill>
    </dxf>
    <dxf>
      <fill>
        <patternFill>
          <bgColor theme="6"/>
        </patternFill>
      </fill>
    </dxf>
    <dxf>
      <fill>
        <patternFill>
          <bgColor rgb="FFFFFF0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1"/>
      </font>
    </dxf>
    <dxf>
      <font>
        <color theme="1"/>
      </font>
    </dxf>
    <dxf>
      <font>
        <color theme="1"/>
      </font>
    </dxf>
    <dxf>
      <font>
        <color theme="5"/>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style="thin">
          <color theme="1"/>
        </left>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right style="thin">
          <color theme="1"/>
        </right>
      </border>
    </dxf>
    <dxf>
      <font>
        <color theme="0"/>
      </font>
      <fill>
        <patternFill>
          <bgColor theme="0"/>
        </patternFill>
      </fill>
    </dxf>
    <dxf>
      <font>
        <color theme="0"/>
      </font>
      <fill>
        <patternFill>
          <bgColor theme="0"/>
        </patternFill>
      </fill>
      <border>
        <left style="thin">
          <color theme="1"/>
        </left>
        <vertical/>
        <horizontal/>
      </border>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right style="thin">
          <color theme="1"/>
        </right>
      </border>
    </dxf>
    <dxf>
      <font>
        <color theme="0"/>
      </font>
      <fill>
        <patternFill>
          <bgColor theme="0"/>
        </patternFill>
      </fill>
    </dxf>
    <dxf>
      <font>
        <color theme="0"/>
      </font>
      <fill>
        <patternFill>
          <bgColor theme="0"/>
        </patternFill>
      </fill>
      <border>
        <left style="thin">
          <color theme="1"/>
        </left>
        <vertical/>
        <horizontal/>
      </border>
    </dxf>
    <dxf>
      <fill>
        <patternFill>
          <bgColor rgb="FFFF0000"/>
        </patternFill>
      </fill>
    </dxf>
    <dxf>
      <fill>
        <patternFill>
          <bgColor rgb="FFFF0000"/>
        </patternFill>
      </fill>
    </dxf>
    <dxf>
      <fill>
        <patternFill>
          <bgColor rgb="FFFF0000"/>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tint="-0.14996795556505021"/>
      </font>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ont>
        <color theme="0" tint="-0.14996795556505021"/>
      </font>
    </dxf>
    <dxf>
      <font>
        <color theme="0" tint="-0.14996795556505021"/>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b/>
        <i val="0"/>
        <color rgb="FFFF0000"/>
      </font>
    </dxf>
    <dxf>
      <fill>
        <patternFill>
          <bgColor theme="0" tint="-0.14996795556505021"/>
        </patternFill>
      </fill>
    </dxf>
    <dxf>
      <fill>
        <patternFill>
          <bgColor theme="0"/>
        </patternFill>
      </fill>
    </dxf>
    <dxf>
      <fill>
        <patternFill>
          <bgColor theme="0"/>
        </patternFill>
      </fill>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tint="-0.14996795556505021"/>
      </font>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tint="-0.14996795556505021"/>
      </font>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tint="-0.14996795556505021"/>
      </font>
    </dxf>
    <dxf>
      <font>
        <b/>
        <i val="0"/>
        <color rgb="FFFF0000"/>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b/>
        <i val="0"/>
        <color rgb="FFFF0000"/>
      </font>
    </dxf>
    <dxf>
      <fill>
        <patternFill>
          <bgColor theme="0" tint="-0.14996795556505021"/>
        </patternFill>
      </fill>
    </dxf>
    <dxf>
      <font>
        <color theme="0" tint="-0.14996795556505021"/>
      </font>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tint="-0.14996795556505021"/>
      </font>
    </dxf>
    <dxf>
      <font>
        <color theme="0" tint="-0.14996795556505021"/>
      </font>
    </dxf>
    <dxf>
      <font>
        <color theme="0" tint="-0.14996795556505021"/>
      </font>
    </dxf>
    <dxf>
      <font>
        <color theme="0" tint="-0.14996795556505021"/>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font>
      <fill>
        <patternFill>
          <bgColor theme="0"/>
        </patternFill>
      </fill>
      <border>
        <left/>
        <right/>
        <top/>
        <bottom/>
        <vertical/>
        <horizontal/>
      </border>
    </dxf>
    <dxf>
      <fill>
        <patternFill>
          <bgColor theme="0" tint="-0.14996795556505021"/>
        </patternFill>
      </fill>
    </dxf>
    <dxf>
      <font>
        <color theme="0" tint="-0.14996795556505021"/>
      </font>
    </dxf>
    <dxf>
      <font>
        <color theme="0" tint="-0.14996795556505021"/>
      </font>
    </dxf>
    <dxf>
      <font>
        <color theme="0" tint="-0.14996795556505021"/>
      </font>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font>
      <fill>
        <patternFill>
          <bgColor theme="0"/>
        </patternFill>
      </fill>
      <border>
        <left/>
        <right/>
        <top/>
        <bottom/>
        <vertical/>
        <horizontal/>
      </border>
    </dxf>
    <dxf>
      <fill>
        <patternFill>
          <bgColor theme="0" tint="-0.14996795556505021"/>
        </patternFill>
      </fill>
    </dxf>
    <dxf>
      <font>
        <color theme="0" tint="-0.14996795556505021"/>
      </font>
    </dxf>
    <dxf>
      <font>
        <color theme="0" tint="-0.14996795556505021"/>
      </font>
    </dxf>
    <dxf>
      <font>
        <color theme="0" tint="-0.14996795556505021"/>
      </font>
    </dxf>
    <dxf>
      <font>
        <color theme="0" tint="-0.14996795556505021"/>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font>
      <fill>
        <patternFill>
          <bgColor theme="0"/>
        </patternFill>
      </fill>
      <border>
        <left/>
        <right/>
        <top/>
        <bottom/>
        <vertical/>
        <horizontal/>
      </border>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color theme="0"/>
      </font>
      <fill>
        <patternFill>
          <bgColor theme="0"/>
        </patternFill>
      </fill>
    </dxf>
    <dxf>
      <fill>
        <patternFill>
          <bgColor theme="0" tint="-0.14996795556505021"/>
        </patternFill>
      </fill>
    </dxf>
    <dxf>
      <font>
        <color theme="0"/>
      </font>
      <fill>
        <patternFill>
          <bgColor theme="0"/>
        </patternFill>
      </fill>
      <border>
        <left/>
        <right/>
        <top/>
        <bottom/>
        <vertical/>
        <horizontal/>
      </border>
    </dxf>
    <dxf>
      <font>
        <color theme="1"/>
      </font>
      <fill>
        <patternFill>
          <bgColor theme="0"/>
        </patternFill>
      </fill>
    </dxf>
    <dxf>
      <font>
        <color theme="1"/>
      </font>
      <fill>
        <patternFill>
          <bgColor theme="0"/>
        </patternFill>
      </fill>
    </dxf>
    <dxf>
      <font>
        <b/>
        <i val="0"/>
        <color rgb="FFFF0000"/>
      </font>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border>
        <top style="thin">
          <color auto="1"/>
        </top>
        <vertical/>
        <horizontal/>
      </border>
    </dxf>
    <dxf>
      <border>
        <top style="thin">
          <color theme="0"/>
        </top>
        <vertical/>
        <horizontal/>
      </border>
    </dxf>
    <dxf>
      <border>
        <left style="thin">
          <color theme="1"/>
        </left>
        <right style="thin">
          <color theme="1"/>
        </right>
        <top style="thin">
          <color theme="1"/>
        </top>
        <bottom style="thin">
          <color theme="1"/>
        </bottom>
        <vertical/>
        <horizontal/>
      </border>
    </dxf>
    <dxf>
      <font>
        <color theme="0"/>
      </font>
      <fill>
        <patternFill>
          <bgColor theme="0"/>
        </patternFill>
      </fill>
      <border>
        <left/>
        <right/>
        <top style="thin">
          <color theme="0"/>
        </top>
        <bottom style="thin">
          <color theme="0"/>
        </bottom>
        <vertical/>
        <horizontal/>
      </border>
    </dxf>
    <dxf>
      <border>
        <left style="thin">
          <color theme="1"/>
        </left>
        <right style="thin">
          <color theme="1"/>
        </right>
        <top style="thin">
          <color theme="1"/>
        </top>
        <bottom style="thin">
          <color theme="1"/>
        </bottom>
        <vertical/>
        <horizontal/>
      </border>
    </dxf>
    <dxf>
      <font>
        <color theme="0"/>
      </font>
      <fill>
        <patternFill>
          <bgColor theme="0"/>
        </patternFill>
      </fill>
      <border>
        <left/>
        <right/>
        <top style="thin">
          <color theme="0"/>
        </top>
        <bottom style="thin">
          <color theme="0"/>
        </bottom>
        <vertical/>
        <horizontal/>
      </border>
    </dxf>
    <dxf>
      <border>
        <left style="thin">
          <color theme="1"/>
        </left>
        <right style="thin">
          <color theme="1"/>
        </right>
        <top style="thin">
          <color theme="1"/>
        </top>
        <bottom style="thin">
          <color theme="1"/>
        </bottom>
        <vertical/>
        <horizontal/>
      </border>
    </dxf>
    <dxf>
      <font>
        <color theme="0"/>
      </font>
      <fill>
        <patternFill>
          <bgColor theme="0"/>
        </patternFill>
      </fill>
      <border>
        <left/>
        <right/>
        <top style="thin">
          <color theme="0"/>
        </top>
        <bottom style="thin">
          <color theme="0"/>
        </bottom>
        <vertical/>
        <horizontal/>
      </border>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1"/>
        </top>
        <bottom style="thin">
          <color theme="1"/>
        </bottom>
      </border>
    </dxf>
    <dxf>
      <font>
        <color theme="0"/>
      </font>
      <fill>
        <patternFill>
          <bgColor theme="0"/>
        </patternFill>
      </fill>
      <border>
        <left/>
        <right/>
        <top style="thin">
          <color auto="1"/>
        </top>
        <bottom/>
        <vertical/>
        <horizontal/>
      </border>
    </dxf>
    <dxf>
      <font>
        <color theme="0"/>
      </font>
      <fill>
        <patternFill>
          <bgColor theme="0"/>
        </patternFill>
      </fill>
      <border>
        <left/>
        <right/>
        <top style="thin">
          <color theme="0"/>
        </top>
        <bottom/>
        <vertical/>
        <horizontal/>
      </border>
    </dxf>
    <dxf>
      <font>
        <color theme="0"/>
      </font>
      <fill>
        <patternFill>
          <bgColor theme="0"/>
        </patternFill>
      </fill>
      <border>
        <left/>
        <right/>
        <top/>
        <bottom style="thin">
          <color auto="1"/>
        </bottom>
        <vertical/>
        <horizontal/>
      </border>
    </dxf>
    <dxf>
      <font>
        <color theme="0"/>
      </font>
      <fill>
        <patternFill>
          <bgColor theme="0"/>
        </patternFill>
      </fill>
      <border>
        <left style="thin">
          <color theme="0"/>
        </left>
        <right style="thin">
          <color theme="0"/>
        </right>
        <top style="thin">
          <color theme="0"/>
        </top>
        <bottom style="thin">
          <color theme="1"/>
        </bottom>
        <vertical/>
        <horizontal/>
      </border>
    </dxf>
  </dxfs>
  <tableStyles count="0" defaultTableStyle="TableStyleMedium9" defaultPivotStyle="PivotStyleLight16"/>
  <colors>
    <mruColors>
      <color rgb="FF56B146"/>
      <color rgb="FF3D6864"/>
      <color rgb="FFFFD146"/>
      <color rgb="FFF16161"/>
      <color rgb="FFC4BD97"/>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 of Building Performance'!$AC$22</c:f>
              <c:strCache>
                <c:ptCount val="1"/>
                <c:pt idx="0">
                  <c:v>Section score available</c:v>
                </c:pt>
              </c:strCache>
            </c:strRef>
          </c:tx>
          <c:spPr>
            <a:solidFill>
              <a:srgbClr val="406864"/>
            </a:solidFill>
          </c:spPr>
          <c:invertIfNegative val="0"/>
          <c:cat>
            <c:strRef>
              <c:f>'Summary of Building Performance'!$AB$23:$AB$32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Performance'!$AC$23:$AC$32</c:f>
              <c:numCache>
                <c:formatCode>0%</c:formatCode>
                <c:ptCount val="10"/>
                <c:pt idx="0">
                  <c:v>0.13</c:v>
                </c:pt>
                <c:pt idx="1">
                  <c:v>0.16</c:v>
                </c:pt>
                <c:pt idx="2">
                  <c:v>0.14000000000000001</c:v>
                </c:pt>
                <c:pt idx="3">
                  <c:v>0.1</c:v>
                </c:pt>
                <c:pt idx="4">
                  <c:v>0.04</c:v>
                </c:pt>
                <c:pt idx="5">
                  <c:v>0.17</c:v>
                </c:pt>
                <c:pt idx="6">
                  <c:v>7.0000000000000007E-2</c:v>
                </c:pt>
                <c:pt idx="7">
                  <c:v>0.15</c:v>
                </c:pt>
                <c:pt idx="8">
                  <c:v>0.04</c:v>
                </c:pt>
                <c:pt idx="9">
                  <c:v>0.1</c:v>
                </c:pt>
              </c:numCache>
            </c:numRef>
          </c:val>
          <c:extLst>
            <c:ext xmlns:c16="http://schemas.microsoft.com/office/drawing/2014/chart" uri="{C3380CC4-5D6E-409C-BE32-E72D297353CC}">
              <c16:uniqueId val="{00000000-F474-4344-A64F-9500F3F284CF}"/>
            </c:ext>
          </c:extLst>
        </c:ser>
        <c:ser>
          <c:idx val="1"/>
          <c:order val="1"/>
          <c:tx>
            <c:strRef>
              <c:f>'Summary of Building Performance'!$AD$22</c:f>
              <c:strCache>
                <c:ptCount val="1"/>
                <c:pt idx="0">
                  <c:v>Initial target setting</c:v>
                </c:pt>
              </c:strCache>
            </c:strRef>
          </c:tx>
          <c:spPr>
            <a:solidFill>
              <a:srgbClr val="56B146"/>
            </a:solidFill>
          </c:spPr>
          <c:invertIfNegative val="0"/>
          <c:cat>
            <c:strRef>
              <c:f>'Summary of Building Performance'!$AB$23:$AB$32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Performance'!$AD$23:$AD$32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474-4344-A64F-9500F3F284CF}"/>
            </c:ext>
          </c:extLst>
        </c:ser>
        <c:ser>
          <c:idx val="2"/>
          <c:order val="2"/>
          <c:tx>
            <c:strRef>
              <c:f>'Summary of Building Performance'!$AE$22</c:f>
              <c:strCache>
                <c:ptCount val="1"/>
                <c:pt idx="0">
                  <c:v>Design phase</c:v>
                </c:pt>
              </c:strCache>
            </c:strRef>
          </c:tx>
          <c:spPr>
            <a:solidFill>
              <a:schemeClr val="accent1">
                <a:lumMod val="40000"/>
                <a:lumOff val="60000"/>
              </a:schemeClr>
            </a:solidFill>
          </c:spPr>
          <c:invertIfNegative val="0"/>
          <c:cat>
            <c:strRef>
              <c:f>'Summary of Building Performance'!$AB$23:$AB$32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Performance'!$AE$23:$AE$32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F474-4344-A64F-9500F3F284CF}"/>
            </c:ext>
          </c:extLst>
        </c:ser>
        <c:ser>
          <c:idx val="3"/>
          <c:order val="3"/>
          <c:tx>
            <c:strRef>
              <c:f>'Summary of Building Performance'!$AF$22</c:f>
              <c:strCache>
                <c:ptCount val="1"/>
                <c:pt idx="0">
                  <c:v>Construction phase</c:v>
                </c:pt>
              </c:strCache>
            </c:strRef>
          </c:tx>
          <c:spPr>
            <a:solidFill>
              <a:schemeClr val="bg2">
                <a:lumMod val="75000"/>
              </a:schemeClr>
            </a:solidFill>
          </c:spPr>
          <c:invertIfNegative val="0"/>
          <c:cat>
            <c:strRef>
              <c:f>'Summary of Building Performance'!$AB$23:$AB$32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Performance'!$AF$23:$AF$32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F474-4344-A64F-9500F3F284CF}"/>
            </c:ext>
          </c:extLst>
        </c:ser>
        <c:dLbls>
          <c:showLegendKey val="0"/>
          <c:showVal val="0"/>
          <c:showCatName val="0"/>
          <c:showSerName val="0"/>
          <c:showPercent val="0"/>
          <c:showBubbleSize val="0"/>
        </c:dLbls>
        <c:gapWidth val="75"/>
        <c:overlap val="-25"/>
        <c:axId val="621716544"/>
        <c:axId val="621717720"/>
      </c:barChart>
      <c:catAx>
        <c:axId val="62171654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7720"/>
        <c:crosses val="autoZero"/>
        <c:auto val="1"/>
        <c:lblAlgn val="ctr"/>
        <c:lblOffset val="100"/>
        <c:noMultiLvlLbl val="0"/>
      </c:catAx>
      <c:valAx>
        <c:axId val="621717720"/>
        <c:scaling>
          <c:orientation val="minMax"/>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nb-NO"/>
          </a:p>
        </c:txPr>
        <c:crossAx val="621716544"/>
        <c:crosses val="autoZero"/>
        <c:crossBetween val="between"/>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6350">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6029043955481"/>
          <c:y val="4.2195507462141082E-2"/>
          <c:w val="0.85957557632275794"/>
          <c:h val="0.722508509326657"/>
        </c:manualLayout>
      </c:layout>
      <c:barChart>
        <c:barDir val="col"/>
        <c:grouping val="clustered"/>
        <c:varyColors val="0"/>
        <c:ser>
          <c:idx val="0"/>
          <c:order val="0"/>
          <c:tx>
            <c:strRef>
              <c:f>'Summary of Building Performance'!$AC$36</c:f>
              <c:strCache>
                <c:ptCount val="1"/>
                <c:pt idx="0">
                  <c:v>Initial target setting</c:v>
                </c:pt>
              </c:strCache>
            </c:strRef>
          </c:tx>
          <c:spPr>
            <a:solidFill>
              <a:srgbClr val="56B146"/>
            </a:solidFill>
          </c:spPr>
          <c:invertIfNegative val="0"/>
          <c:cat>
            <c:strRef>
              <c:f>'Summary of Building Performance'!$AB$37:$AB$58</c:f>
              <c:strCache>
                <c:ptCount val="22"/>
                <c:pt idx="0">
                  <c:v>Man 01</c:v>
                </c:pt>
                <c:pt idx="1">
                  <c:v>Man 03</c:v>
                </c:pt>
                <c:pt idx="2">
                  <c:v>Man 04</c:v>
                </c:pt>
                <c:pt idx="3">
                  <c:v>Man 05</c:v>
                </c:pt>
                <c:pt idx="4">
                  <c:v>Hea 01</c:v>
                </c:pt>
                <c:pt idx="5">
                  <c:v>Hea 02</c:v>
                </c:pt>
                <c:pt idx="6">
                  <c:v>Ene 01</c:v>
                </c:pt>
                <c:pt idx="7">
                  <c:v>Ene 07</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'Summary of Building Performance'!$AC$37:$AC$58</c:f>
              <c:numCache>
                <c:formatCode>General</c:formatCode>
                <c:ptCount val="22"/>
                <c:pt idx="0">
                  <c:v>3</c:v>
                </c:pt>
                <c:pt idx="1">
                  <c:v>0</c:v>
                </c:pt>
                <c:pt idx="2">
                  <c:v>0</c:v>
                </c:pt>
                <c:pt idx="3">
                  <c:v>3</c:v>
                </c:pt>
                <c:pt idx="4">
                  <c:v>0</c:v>
                </c:pt>
                <c:pt idx="5">
                  <c:v>0</c:v>
                </c:pt>
                <c:pt idx="6">
                  <c:v>3</c:v>
                </c:pt>
                <c:pt idx="7">
                  <c:v>0</c:v>
                </c:pt>
                <c:pt idx="8">
                  <c:v>3</c:v>
                </c:pt>
                <c:pt idx="9">
                  <c:v>3</c:v>
                </c:pt>
                <c:pt idx="10">
                  <c:v>0</c:v>
                </c:pt>
                <c:pt idx="11">
                  <c:v>0</c:v>
                </c:pt>
                <c:pt idx="12">
                  <c:v>0</c:v>
                </c:pt>
                <c:pt idx="13">
                  <c:v>3</c:v>
                </c:pt>
                <c:pt idx="14">
                  <c:v>0</c:v>
                </c:pt>
                <c:pt idx="15">
                  <c:v>3</c:v>
                </c:pt>
                <c:pt idx="16">
                  <c:v>2</c:v>
                </c:pt>
                <c:pt idx="17">
                  <c:v>3</c:v>
                </c:pt>
                <c:pt idx="18">
                  <c:v>3</c:v>
                </c:pt>
                <c:pt idx="19">
                  <c:v>2</c:v>
                </c:pt>
                <c:pt idx="20">
                  <c:v>4</c:v>
                </c:pt>
                <c:pt idx="21">
                  <c:v>3</c:v>
                </c:pt>
              </c:numCache>
            </c:numRef>
          </c:val>
          <c:extLst>
            <c:ext xmlns:c16="http://schemas.microsoft.com/office/drawing/2014/chart" uri="{C3380CC4-5D6E-409C-BE32-E72D297353CC}">
              <c16:uniqueId val="{00000000-F474-4344-A64F-9500F3F284CF}"/>
            </c:ext>
          </c:extLst>
        </c:ser>
        <c:ser>
          <c:idx val="1"/>
          <c:order val="1"/>
          <c:tx>
            <c:strRef>
              <c:f>'Summary of Building Performance'!$AD$36</c:f>
              <c:strCache>
                <c:ptCount val="1"/>
                <c:pt idx="0">
                  <c:v>Design phase</c:v>
                </c:pt>
              </c:strCache>
            </c:strRef>
          </c:tx>
          <c:spPr>
            <a:solidFill>
              <a:srgbClr val="B9CDE5"/>
            </a:solidFill>
          </c:spPr>
          <c:invertIfNegative val="0"/>
          <c:cat>
            <c:strRef>
              <c:f>'Summary of Building Performance'!$AB$37:$AB$58</c:f>
              <c:strCache>
                <c:ptCount val="22"/>
                <c:pt idx="0">
                  <c:v>Man 01</c:v>
                </c:pt>
                <c:pt idx="1">
                  <c:v>Man 03</c:v>
                </c:pt>
                <c:pt idx="2">
                  <c:v>Man 04</c:v>
                </c:pt>
                <c:pt idx="3">
                  <c:v>Man 05</c:v>
                </c:pt>
                <c:pt idx="4">
                  <c:v>Hea 01</c:v>
                </c:pt>
                <c:pt idx="5">
                  <c:v>Hea 02</c:v>
                </c:pt>
                <c:pt idx="6">
                  <c:v>Ene 01</c:v>
                </c:pt>
                <c:pt idx="7">
                  <c:v>Ene 07</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'Summary of Building Performance'!$AD$37:$AD$58</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1-F474-4344-A64F-9500F3F284CF}"/>
            </c:ext>
          </c:extLst>
        </c:ser>
        <c:ser>
          <c:idx val="2"/>
          <c:order val="2"/>
          <c:tx>
            <c:strRef>
              <c:f>'Summary of Building Performance'!$AE$36</c:f>
              <c:strCache>
                <c:ptCount val="1"/>
                <c:pt idx="0">
                  <c:v>Construction phase</c:v>
                </c:pt>
              </c:strCache>
            </c:strRef>
          </c:tx>
          <c:spPr>
            <a:solidFill>
              <a:srgbClr val="C4BD97"/>
            </a:solidFill>
          </c:spPr>
          <c:invertIfNegative val="0"/>
          <c:cat>
            <c:strRef>
              <c:f>'Summary of Building Performance'!$AB$37:$AB$58</c:f>
              <c:strCache>
                <c:ptCount val="22"/>
                <c:pt idx="0">
                  <c:v>Man 01</c:v>
                </c:pt>
                <c:pt idx="1">
                  <c:v>Man 03</c:v>
                </c:pt>
                <c:pt idx="2">
                  <c:v>Man 04</c:v>
                </c:pt>
                <c:pt idx="3">
                  <c:v>Man 05</c:v>
                </c:pt>
                <c:pt idx="4">
                  <c:v>Hea 01</c:v>
                </c:pt>
                <c:pt idx="5">
                  <c:v>Hea 02</c:v>
                </c:pt>
                <c:pt idx="6">
                  <c:v>Ene 01</c:v>
                </c:pt>
                <c:pt idx="7">
                  <c:v>Ene 07</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'Summary of Building Performance'!$AE$37:$AE$58</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2-F474-4344-A64F-9500F3F284CF}"/>
            </c:ext>
          </c:extLst>
        </c:ser>
        <c:dLbls>
          <c:showLegendKey val="0"/>
          <c:showVal val="0"/>
          <c:showCatName val="0"/>
          <c:showSerName val="0"/>
          <c:showPercent val="0"/>
          <c:showBubbleSize val="0"/>
        </c:dLbls>
        <c:gapWidth val="75"/>
        <c:overlap val="-25"/>
        <c:axId val="621713800"/>
        <c:axId val="621718504"/>
      </c:barChart>
      <c:catAx>
        <c:axId val="62171380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8504"/>
        <c:crosses val="autoZero"/>
        <c:auto val="1"/>
        <c:lblAlgn val="ctr"/>
        <c:lblOffset val="100"/>
        <c:noMultiLvlLbl val="0"/>
      </c:catAx>
      <c:valAx>
        <c:axId val="621718504"/>
        <c:scaling>
          <c:orientation val="minMax"/>
          <c:max val="5"/>
        </c:scaling>
        <c:delete val="1"/>
        <c:axPos val="l"/>
        <c:majorGridlines/>
        <c:numFmt formatCode="0%" sourceLinked="0"/>
        <c:majorTickMark val="none"/>
        <c:minorTickMark val="none"/>
        <c:tickLblPos val="nextTo"/>
        <c:crossAx val="621713800"/>
        <c:crosses val="autoZero"/>
        <c:crossBetween val="between"/>
        <c:majorUnit val="1"/>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layout>
        <c:manualLayout>
          <c:xMode val="edge"/>
          <c:yMode val="edge"/>
          <c:x val="0.10425054779133901"/>
          <c:y val="0.88460329124958204"/>
          <c:w val="0.78340991326686749"/>
          <c:h val="9.2380977407431883E-2"/>
        </c:manualLayout>
      </c:layout>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47944</xdr:colOff>
      <xdr:row>9</xdr:row>
      <xdr:rowOff>9524</xdr:rowOff>
    </xdr:from>
    <xdr:to>
      <xdr:col>3</xdr:col>
      <xdr:colOff>970683</xdr:colOff>
      <xdr:row>18</xdr:row>
      <xdr:rowOff>95249</xdr:rowOff>
    </xdr:to>
    <xdr:pic>
      <xdr:nvPicPr>
        <xdr:cNvPr id="8" name="Picture 7">
          <a:extLst>
            <a:ext uri="{FF2B5EF4-FFF2-40B4-BE49-F238E27FC236}">
              <a16:creationId xmlns:a16="http://schemas.microsoft.com/office/drawing/2014/main" id="{514DB9FE-E69C-44D8-90E6-192BCA61C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544" y="4724399"/>
          <a:ext cx="2199089" cy="1724025"/>
        </a:xfrm>
        <a:prstGeom prst="rect">
          <a:avLst/>
        </a:prstGeom>
      </xdr:spPr>
    </xdr:pic>
    <xdr:clientData/>
  </xdr:twoCellAnchor>
  <xdr:twoCellAnchor editAs="oneCell">
    <xdr:from>
      <xdr:col>11</xdr:col>
      <xdr:colOff>352425</xdr:colOff>
      <xdr:row>0</xdr:row>
      <xdr:rowOff>142875</xdr:rowOff>
    </xdr:from>
    <xdr:to>
      <xdr:col>16</xdr:col>
      <xdr:colOff>51435</xdr:colOff>
      <xdr:row>4</xdr:row>
      <xdr:rowOff>32138</xdr:rowOff>
    </xdr:to>
    <xdr:pic>
      <xdr:nvPicPr>
        <xdr:cNvPr id="9" name="Bilde 7">
          <a:extLst>
            <a:ext uri="{FF2B5EF4-FFF2-40B4-BE49-F238E27FC236}">
              <a16:creationId xmlns:a16="http://schemas.microsoft.com/office/drawing/2014/main" id="{2E416739-5696-4333-80A2-9773A284A9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38975" y="142875"/>
          <a:ext cx="2823210" cy="670313"/>
        </a:xfrm>
        <a:prstGeom prst="rect">
          <a:avLst/>
        </a:prstGeom>
      </xdr:spPr>
    </xdr:pic>
    <xdr:clientData/>
  </xdr:twoCellAnchor>
  <xdr:twoCellAnchor editAs="oneCell">
    <xdr:from>
      <xdr:col>5</xdr:col>
      <xdr:colOff>219074</xdr:colOff>
      <xdr:row>14</xdr:row>
      <xdr:rowOff>96843</xdr:rowOff>
    </xdr:from>
    <xdr:to>
      <xdr:col>8</xdr:col>
      <xdr:colOff>542925</xdr:colOff>
      <xdr:row>19</xdr:row>
      <xdr:rowOff>59076</xdr:rowOff>
    </xdr:to>
    <xdr:pic>
      <xdr:nvPicPr>
        <xdr:cNvPr id="3" name="Picture 2">
          <a:extLst>
            <a:ext uri="{FF2B5EF4-FFF2-40B4-BE49-F238E27FC236}">
              <a16:creationId xmlns:a16="http://schemas.microsoft.com/office/drawing/2014/main" id="{AA1CBD4F-DC3B-4EE6-AD68-16DE5317B1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62324" y="6307143"/>
          <a:ext cx="2095501" cy="914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71718</xdr:colOff>
      <xdr:row>40</xdr:row>
      <xdr:rowOff>56899</xdr:rowOff>
    </xdr:from>
    <xdr:to>
      <xdr:col>2</xdr:col>
      <xdr:colOff>2442173</xdr:colOff>
      <xdr:row>41</xdr:row>
      <xdr:rowOff>186238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2336" y="9974105"/>
          <a:ext cx="2374265" cy="538242"/>
        </a:xfrm>
        <a:prstGeom prst="rect">
          <a:avLst/>
        </a:prstGeom>
      </xdr:spPr>
    </xdr:pic>
    <xdr:clientData/>
  </xdr:twoCellAnchor>
  <xdr:twoCellAnchor>
    <xdr:from>
      <xdr:col>2</xdr:col>
      <xdr:colOff>3390900</xdr:colOff>
      <xdr:row>52</xdr:row>
      <xdr:rowOff>180975</xdr:rowOff>
    </xdr:from>
    <xdr:to>
      <xdr:col>4</xdr:col>
      <xdr:colOff>19050</xdr:colOff>
      <xdr:row>54</xdr:row>
      <xdr:rowOff>57150</xdr:rowOff>
    </xdr:to>
    <xdr:sp macro="" textlink="">
      <xdr:nvSpPr>
        <xdr:cNvPr id="6" name="TextBox 5">
          <a:extLst>
            <a:ext uri="{FF2B5EF4-FFF2-40B4-BE49-F238E27FC236}">
              <a16:creationId xmlns:a16="http://schemas.microsoft.com/office/drawing/2014/main" id="{A26ADC79-7EC8-47E4-B5D3-1CCBDADB2BE3}"/>
            </a:ext>
          </a:extLst>
        </xdr:cNvPr>
        <xdr:cNvSpPr txBox="1"/>
      </xdr:nvSpPr>
      <xdr:spPr>
        <a:xfrm>
          <a:off x="6096000" y="13611225"/>
          <a:ext cx="9906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nb-NO" sz="1100">
              <a:solidFill>
                <a:sysClr val="windowText" lastClr="000000"/>
              </a:solidFill>
            </a:rPr>
            <a:t>Tool date:</a:t>
          </a:r>
        </a:p>
      </xdr:txBody>
    </xdr:sp>
    <xdr:clientData/>
  </xdr:twoCellAnchor>
  <xdr:twoCellAnchor editAs="oneCell">
    <xdr:from>
      <xdr:col>5</xdr:col>
      <xdr:colOff>981075</xdr:colOff>
      <xdr:row>0</xdr:row>
      <xdr:rowOff>123825</xdr:rowOff>
    </xdr:from>
    <xdr:to>
      <xdr:col>34</xdr:col>
      <xdr:colOff>33655</xdr:colOff>
      <xdr:row>2</xdr:row>
      <xdr:rowOff>71508</xdr:rowOff>
    </xdr:to>
    <xdr:pic>
      <xdr:nvPicPr>
        <xdr:cNvPr id="5" name="Bilde 6">
          <a:extLst>
            <a:ext uri="{FF2B5EF4-FFF2-40B4-BE49-F238E27FC236}">
              <a16:creationId xmlns:a16="http://schemas.microsoft.com/office/drawing/2014/main" id="{D6381F30-8EEF-46F6-8E0F-07F579C38F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59000" y="123825"/>
          <a:ext cx="2815590" cy="670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572498</xdr:colOff>
      <xdr:row>0</xdr:row>
      <xdr:rowOff>38100</xdr:rowOff>
    </xdr:from>
    <xdr:to>
      <xdr:col>53</xdr:col>
      <xdr:colOff>33685</xdr:colOff>
      <xdr:row>2</xdr:row>
      <xdr:rowOff>1247</xdr:rowOff>
    </xdr:to>
    <xdr:pic>
      <xdr:nvPicPr>
        <xdr:cNvPr id="3" name="Bilde 2">
          <a:extLst>
            <a:ext uri="{FF2B5EF4-FFF2-40B4-BE49-F238E27FC236}">
              <a16:creationId xmlns:a16="http://schemas.microsoft.com/office/drawing/2014/main" id="{D95C09B3-24AB-4E08-9EEA-97C0984520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799"/>
        <a:stretch/>
      </xdr:blipFill>
      <xdr:spPr>
        <a:xfrm>
          <a:off x="18071604" y="38100"/>
          <a:ext cx="2921003" cy="5817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64</xdr:col>
      <xdr:colOff>103093</xdr:colOff>
      <xdr:row>224</xdr:row>
      <xdr:rowOff>56029</xdr:rowOff>
    </xdr:from>
    <xdr:to>
      <xdr:col>72</xdr:col>
      <xdr:colOff>152622</xdr:colOff>
      <xdr:row>229</xdr:row>
      <xdr:rowOff>193603</xdr:rowOff>
    </xdr:to>
    <xdr:pic>
      <xdr:nvPicPr>
        <xdr:cNvPr id="2" name="Picture 1">
          <a:extLst>
            <a:ext uri="{FF2B5EF4-FFF2-40B4-BE49-F238E27FC236}">
              <a16:creationId xmlns:a16="http://schemas.microsoft.com/office/drawing/2014/main" id="{855A0ECF-4CAF-4CEB-806C-D2BD151BA4A2}"/>
            </a:ext>
          </a:extLst>
        </xdr:cNvPr>
        <xdr:cNvPicPr>
          <a:picLocks noChangeAspect="1"/>
        </xdr:cNvPicPr>
      </xdr:nvPicPr>
      <xdr:blipFill>
        <a:blip xmlns:r="http://schemas.openxmlformats.org/officeDocument/2006/relationships" r:embed="rId1"/>
        <a:stretch>
          <a:fillRect/>
        </a:stretch>
      </xdr:blipFill>
      <xdr:spPr>
        <a:xfrm>
          <a:off x="44142211" y="2857500"/>
          <a:ext cx="5652470" cy="11012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8967</xdr:colOff>
      <xdr:row>14</xdr:row>
      <xdr:rowOff>96932</xdr:rowOff>
    </xdr:from>
    <xdr:to>
      <xdr:col>7</xdr:col>
      <xdr:colOff>259773</xdr:colOff>
      <xdr:row>31</xdr:row>
      <xdr:rowOff>141755</xdr:rowOff>
    </xdr:to>
    <xdr:graphicFrame macro="">
      <xdr:nvGraphicFramePr>
        <xdr:cNvPr id="6" name="Chart 4">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376152</xdr:colOff>
      <xdr:row>14</xdr:row>
      <xdr:rowOff>83594</xdr:rowOff>
    </xdr:from>
    <xdr:to>
      <xdr:col>15</xdr:col>
      <xdr:colOff>441960</xdr:colOff>
      <xdr:row>31</xdr:row>
      <xdr:rowOff>155873</xdr:rowOff>
    </xdr:to>
    <xdr:graphicFrame macro="">
      <xdr:nvGraphicFramePr>
        <xdr:cNvPr id="8" name="Chart 4">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412173</xdr:colOff>
      <xdr:row>27</xdr:row>
      <xdr:rowOff>9525</xdr:rowOff>
    </xdr:from>
    <xdr:to>
      <xdr:col>8</xdr:col>
      <xdr:colOff>688398</xdr:colOff>
      <xdr:row>28</xdr:row>
      <xdr:rowOff>47625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685559" y="6010275"/>
          <a:ext cx="101224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Unclassified</a:t>
          </a:r>
        </a:p>
      </xdr:txBody>
    </xdr:sp>
    <xdr:clientData/>
  </xdr:twoCellAnchor>
  <xdr:twoCellAnchor>
    <xdr:from>
      <xdr:col>8</xdr:col>
      <xdr:colOff>40698</xdr:colOff>
      <xdr:row>24</xdr:row>
      <xdr:rowOff>76199</xdr:rowOff>
    </xdr:from>
    <xdr:to>
      <xdr:col>8</xdr:col>
      <xdr:colOff>516948</xdr:colOff>
      <xdr:row>25</xdr:row>
      <xdr:rowOff>142874</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6050107" y="5505449"/>
          <a:ext cx="4762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Pass</a:t>
          </a:r>
        </a:p>
      </xdr:txBody>
    </xdr:sp>
    <xdr:clientData/>
  </xdr:twoCellAnchor>
  <xdr:twoCellAnchor>
    <xdr:from>
      <xdr:col>8</xdr:col>
      <xdr:colOff>12123</xdr:colOff>
      <xdr:row>21</xdr:row>
      <xdr:rowOff>190499</xdr:rowOff>
    </xdr:from>
    <xdr:to>
      <xdr:col>8</xdr:col>
      <xdr:colOff>497898</xdr:colOff>
      <xdr:row>23</xdr:row>
      <xdr:rowOff>66674</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021532" y="5048249"/>
          <a:ext cx="485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Good</a:t>
          </a:r>
        </a:p>
      </xdr:txBody>
    </xdr:sp>
    <xdr:clientData/>
  </xdr:twoCellAnchor>
  <xdr:twoCellAnchor>
    <xdr:from>
      <xdr:col>7</xdr:col>
      <xdr:colOff>497898</xdr:colOff>
      <xdr:row>19</xdr:row>
      <xdr:rowOff>85725</xdr:rowOff>
    </xdr:from>
    <xdr:to>
      <xdr:col>8</xdr:col>
      <xdr:colOff>535998</xdr:colOff>
      <xdr:row>20</xdr:row>
      <xdr:rowOff>180975</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5771284" y="4562475"/>
          <a:ext cx="77412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Very Good</a:t>
          </a:r>
        </a:p>
      </xdr:txBody>
    </xdr:sp>
    <xdr:clientData/>
  </xdr:twoCellAnchor>
  <xdr:twoCellAnchor>
    <xdr:from>
      <xdr:col>7</xdr:col>
      <xdr:colOff>574098</xdr:colOff>
      <xdr:row>17</xdr:row>
      <xdr:rowOff>9525</xdr:rowOff>
    </xdr:from>
    <xdr:to>
      <xdr:col>8</xdr:col>
      <xdr:colOff>516948</xdr:colOff>
      <xdr:row>18</xdr:row>
      <xdr:rowOff>66675</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5847484" y="4105275"/>
          <a:ext cx="678873"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Excellent</a:t>
          </a:r>
        </a:p>
      </xdr:txBody>
    </xdr:sp>
    <xdr:clientData/>
  </xdr:twoCellAnchor>
  <xdr:twoCellAnchor>
    <xdr:from>
      <xdr:col>7</xdr:col>
      <xdr:colOff>421698</xdr:colOff>
      <xdr:row>14</xdr:row>
      <xdr:rowOff>95250</xdr:rowOff>
    </xdr:from>
    <xdr:to>
      <xdr:col>8</xdr:col>
      <xdr:colOff>697923</xdr:colOff>
      <xdr:row>15</xdr:row>
      <xdr:rowOff>133350</xdr:rowOff>
    </xdr:to>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5695084" y="3619500"/>
          <a:ext cx="101224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Outstanding</a:t>
          </a:r>
        </a:p>
      </xdr:txBody>
    </xdr:sp>
    <xdr:clientData/>
  </xdr:twoCellAnchor>
  <xdr:twoCellAnchor editAs="oneCell">
    <xdr:from>
      <xdr:col>12</xdr:col>
      <xdr:colOff>347052</xdr:colOff>
      <xdr:row>0</xdr:row>
      <xdr:rowOff>116898</xdr:rowOff>
    </xdr:from>
    <xdr:to>
      <xdr:col>15</xdr:col>
      <xdr:colOff>414303</xdr:colOff>
      <xdr:row>2</xdr:row>
      <xdr:rowOff>77281</xdr:rowOff>
    </xdr:to>
    <xdr:pic>
      <xdr:nvPicPr>
        <xdr:cNvPr id="14" name="Bilde 14">
          <a:extLst>
            <a:ext uri="{FF2B5EF4-FFF2-40B4-BE49-F238E27FC236}">
              <a16:creationId xmlns:a16="http://schemas.microsoft.com/office/drawing/2014/main" id="{1C2864DC-DD23-4B28-9CDE-E141AEDE13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63492" y="116898"/>
          <a:ext cx="2837121" cy="6842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1376228</xdr:colOff>
      <xdr:row>0</xdr:row>
      <xdr:rowOff>68036</xdr:rowOff>
    </xdr:from>
    <xdr:to>
      <xdr:col>25</xdr:col>
      <xdr:colOff>1278799</xdr:colOff>
      <xdr:row>1</xdr:row>
      <xdr:rowOff>58537</xdr:rowOff>
    </xdr:to>
    <xdr:pic>
      <xdr:nvPicPr>
        <xdr:cNvPr id="3" name="Bilde 3">
          <a:extLst>
            <a:ext uri="{FF2B5EF4-FFF2-40B4-BE49-F238E27FC236}">
              <a16:creationId xmlns:a16="http://schemas.microsoft.com/office/drawing/2014/main" id="{5E8C092E-9A9A-47F0-A1C5-F1236DAD70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98"/>
        <a:stretch/>
      </xdr:blipFill>
      <xdr:spPr>
        <a:xfrm>
          <a:off x="35258014" y="68036"/>
          <a:ext cx="2828107" cy="6028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247650</xdr:colOff>
      <xdr:row>0</xdr:row>
      <xdr:rowOff>142875</xdr:rowOff>
    </xdr:from>
    <xdr:to>
      <xdr:col>16</xdr:col>
      <xdr:colOff>41910</xdr:colOff>
      <xdr:row>2</xdr:row>
      <xdr:rowOff>79763</xdr:rowOff>
    </xdr:to>
    <xdr:pic>
      <xdr:nvPicPr>
        <xdr:cNvPr id="4" name="Bilde 2">
          <a:extLst>
            <a:ext uri="{FF2B5EF4-FFF2-40B4-BE49-F238E27FC236}">
              <a16:creationId xmlns:a16="http://schemas.microsoft.com/office/drawing/2014/main" id="{BAD9EE81-3374-42DE-8AFE-1DDEF62D0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6175" y="142875"/>
          <a:ext cx="2846070" cy="6626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
  <sheetViews>
    <sheetView showGridLines="0" tabSelected="1" zoomScaleNormal="100" workbookViewId="0">
      <selection activeCell="T5" sqref="T5"/>
    </sheetView>
  </sheetViews>
  <sheetFormatPr defaultColWidth="8.85546875" defaultRowHeight="15" x14ac:dyDescent="0.25"/>
  <cols>
    <col min="1" max="1" width="3.42578125" style="621" customWidth="1"/>
    <col min="2" max="2" width="10.28515625" style="621" customWidth="1"/>
    <col min="3" max="3" width="8.85546875" style="621"/>
    <col min="4" max="4" width="15.7109375" style="621" bestFit="1" customWidth="1"/>
    <col min="5" max="11" width="8.85546875" style="621"/>
    <col min="12" max="12" width="11.42578125" style="621" customWidth="1"/>
    <col min="13" max="17" width="8.85546875" style="621"/>
    <col min="18" max="18" width="7.42578125" style="621" customWidth="1"/>
    <col min="19" max="16384" width="8.85546875" style="621"/>
  </cols>
  <sheetData>
    <row r="1" spans="1:21" x14ac:dyDescent="0.25">
      <c r="A1" s="620"/>
      <c r="B1" s="620"/>
      <c r="C1" s="620"/>
      <c r="D1" s="620"/>
      <c r="E1" s="620"/>
      <c r="F1" s="620"/>
      <c r="G1" s="620"/>
      <c r="H1" s="620"/>
      <c r="I1" s="620"/>
      <c r="J1" s="620"/>
      <c r="K1" s="620"/>
      <c r="L1" s="620"/>
      <c r="M1" s="620"/>
      <c r="N1" s="620"/>
      <c r="O1" s="620"/>
      <c r="P1" s="620"/>
    </row>
    <row r="2" spans="1:21" ht="21" x14ac:dyDescent="0.25">
      <c r="A2" s="620"/>
      <c r="B2" s="725" t="s">
        <v>963</v>
      </c>
      <c r="C2" s="623"/>
      <c r="D2" s="623"/>
      <c r="E2" s="623"/>
      <c r="F2" s="623"/>
      <c r="G2" s="623"/>
      <c r="H2" s="623"/>
      <c r="I2" s="623"/>
      <c r="J2" s="623"/>
      <c r="K2" s="623"/>
      <c r="L2" s="624"/>
      <c r="M2" s="624"/>
      <c r="N2" s="624"/>
      <c r="O2" s="624"/>
      <c r="P2" s="635" t="str">
        <f>IF('Manuell filtrering og justering'!I2='Manuell filtrering og justering'!J2,"Bespoke","")</f>
        <v/>
      </c>
    </row>
    <row r="3" spans="1:21" ht="21" x14ac:dyDescent="0.25">
      <c r="A3" s="620"/>
      <c r="B3" s="622" t="s">
        <v>5</v>
      </c>
      <c r="C3" s="625" t="str">
        <f>TVC_current_version</f>
        <v>1.7</v>
      </c>
      <c r="D3" s="626">
        <f>TVC_current_date</f>
        <v>45327</v>
      </c>
      <c r="E3" s="623"/>
      <c r="F3" s="623"/>
      <c r="G3" s="623"/>
      <c r="H3" s="623"/>
      <c r="I3" s="623"/>
      <c r="J3" s="623"/>
      <c r="K3" s="623"/>
      <c r="L3" s="624"/>
      <c r="M3" s="624"/>
      <c r="N3" s="624"/>
      <c r="O3" s="624"/>
      <c r="P3" s="624"/>
      <c r="Q3" s="627"/>
      <c r="R3" s="627"/>
    </row>
    <row r="4" spans="1:21" ht="4.5" customHeight="1" x14ac:dyDescent="0.25">
      <c r="A4" s="628"/>
      <c r="B4" s="629"/>
      <c r="C4" s="628"/>
      <c r="D4" s="628"/>
      <c r="E4" s="628"/>
      <c r="F4" s="628"/>
      <c r="G4" s="628"/>
      <c r="H4" s="628"/>
      <c r="I4" s="628"/>
      <c r="J4" s="628"/>
      <c r="K4" s="628"/>
      <c r="L4" s="628"/>
      <c r="M4" s="628"/>
      <c r="N4" s="628"/>
      <c r="O4" s="628"/>
      <c r="P4" s="628"/>
      <c r="Q4" s="627"/>
      <c r="R4" s="627"/>
      <c r="S4" s="627"/>
      <c r="T4" s="627"/>
      <c r="U4" s="627"/>
    </row>
    <row r="5" spans="1:21" ht="126.75" customHeight="1" x14ac:dyDescent="0.25">
      <c r="A5" s="628"/>
      <c r="B5" s="1301" t="s">
        <v>1022</v>
      </c>
      <c r="C5" s="1302"/>
      <c r="D5" s="1302"/>
      <c r="E5" s="1302"/>
      <c r="F5" s="1302"/>
      <c r="G5" s="1302"/>
      <c r="H5" s="1302"/>
      <c r="I5" s="1302"/>
      <c r="J5" s="1302"/>
      <c r="K5" s="1302"/>
      <c r="L5" s="1302"/>
      <c r="M5" s="1302"/>
      <c r="N5" s="1302"/>
      <c r="O5" s="1302"/>
      <c r="P5" s="1302"/>
      <c r="Q5" s="627"/>
      <c r="R5" s="627"/>
      <c r="S5" s="627"/>
      <c r="T5" s="627"/>
      <c r="U5" s="627"/>
    </row>
    <row r="6" spans="1:21" ht="85.5" customHeight="1" x14ac:dyDescent="0.25">
      <c r="A6" s="628"/>
      <c r="B6" s="1301" t="s">
        <v>964</v>
      </c>
      <c r="C6" s="1302"/>
      <c r="D6" s="1302"/>
      <c r="E6" s="1302"/>
      <c r="F6" s="1302"/>
      <c r="G6" s="1302"/>
      <c r="H6" s="1302"/>
      <c r="I6" s="1302"/>
      <c r="J6" s="1302"/>
      <c r="K6" s="1302"/>
      <c r="L6" s="1302"/>
      <c r="M6" s="1302"/>
      <c r="N6" s="1302"/>
      <c r="O6" s="1302"/>
      <c r="P6" s="1302"/>
      <c r="Q6" s="627"/>
      <c r="R6" s="627"/>
      <c r="S6" s="627"/>
      <c r="T6" s="627"/>
      <c r="U6" s="627"/>
    </row>
    <row r="7" spans="1:21" ht="80.25" customHeight="1" x14ac:dyDescent="0.25">
      <c r="A7" s="628"/>
      <c r="B7" s="1301" t="s">
        <v>1023</v>
      </c>
      <c r="C7" s="1302"/>
      <c r="D7" s="1302"/>
      <c r="E7" s="1302"/>
      <c r="F7" s="1302"/>
      <c r="G7" s="1302"/>
      <c r="H7" s="1302"/>
      <c r="I7" s="1302"/>
      <c r="J7" s="1302"/>
      <c r="K7" s="1302"/>
      <c r="L7" s="1302"/>
      <c r="M7" s="1302"/>
      <c r="N7" s="1302"/>
      <c r="O7" s="1302"/>
      <c r="P7" s="1302"/>
      <c r="Q7" s="627"/>
      <c r="R7" s="627"/>
      <c r="S7" s="627"/>
      <c r="T7" s="627"/>
      <c r="U7" s="627"/>
    </row>
    <row r="8" spans="1:21" ht="2.25" customHeight="1" x14ac:dyDescent="0.25">
      <c r="A8" s="628"/>
      <c r="B8" s="628"/>
      <c r="C8" s="628"/>
      <c r="D8" s="628"/>
      <c r="E8" s="628"/>
      <c r="F8" s="628"/>
      <c r="G8" s="628"/>
      <c r="H8" s="628"/>
      <c r="I8" s="628"/>
      <c r="J8" s="628"/>
      <c r="K8" s="628"/>
      <c r="L8" s="628"/>
      <c r="M8" s="628"/>
      <c r="N8" s="628"/>
      <c r="O8" s="628"/>
      <c r="P8" s="629"/>
      <c r="Q8" s="627"/>
      <c r="R8" s="627"/>
      <c r="S8" s="627"/>
      <c r="T8" s="627"/>
      <c r="U8" s="627"/>
    </row>
    <row r="9" spans="1:21" x14ac:dyDescent="0.25">
      <c r="A9" s="628"/>
      <c r="B9" s="631" t="s">
        <v>1024</v>
      </c>
      <c r="C9" s="628"/>
      <c r="D9" s="628"/>
      <c r="E9" s="628"/>
      <c r="F9" s="628"/>
      <c r="G9" s="628"/>
      <c r="H9" s="628"/>
      <c r="I9" s="628"/>
      <c r="J9" s="628"/>
      <c r="K9" s="628"/>
      <c r="L9" s="628"/>
      <c r="M9" s="628"/>
      <c r="N9" s="628"/>
      <c r="O9" s="628"/>
      <c r="P9" s="628"/>
      <c r="Q9" s="627"/>
      <c r="R9" s="627"/>
      <c r="S9" s="627"/>
      <c r="T9" s="627"/>
      <c r="U9" s="627"/>
    </row>
    <row r="10" spans="1:21" ht="9" customHeight="1" x14ac:dyDescent="0.25">
      <c r="A10" s="628"/>
      <c r="B10" s="628"/>
      <c r="C10" s="628"/>
      <c r="D10" s="628"/>
      <c r="E10" s="628"/>
      <c r="F10" s="628"/>
      <c r="G10" s="628"/>
      <c r="H10" s="628"/>
      <c r="I10" s="628"/>
      <c r="J10" s="628"/>
      <c r="K10" s="628"/>
      <c r="L10" s="628"/>
      <c r="M10" s="628"/>
      <c r="N10" s="628"/>
      <c r="O10" s="628"/>
      <c r="P10" s="628"/>
      <c r="Q10" s="627"/>
      <c r="R10" s="627"/>
      <c r="S10" s="627"/>
      <c r="T10" s="627"/>
      <c r="U10" s="627"/>
    </row>
    <row r="11" spans="1:21" x14ac:dyDescent="0.25">
      <c r="A11" s="628"/>
      <c r="B11" s="628"/>
      <c r="C11" s="628"/>
      <c r="D11" s="628"/>
      <c r="E11" s="628"/>
      <c r="F11" s="628"/>
      <c r="G11" s="628"/>
      <c r="H11" s="628"/>
      <c r="I11" s="628"/>
      <c r="J11" s="628"/>
      <c r="K11" s="628"/>
      <c r="L11" s="628"/>
      <c r="M11" s="628"/>
      <c r="N11" s="628"/>
      <c r="O11" s="628"/>
      <c r="P11" s="628"/>
      <c r="Q11" s="627"/>
      <c r="R11" s="627"/>
      <c r="S11" s="627"/>
      <c r="T11" s="627"/>
      <c r="U11" s="627"/>
    </row>
    <row r="12" spans="1:21" x14ac:dyDescent="0.25">
      <c r="A12" s="628"/>
      <c r="B12" s="628"/>
      <c r="C12" s="628"/>
      <c r="D12" s="628"/>
      <c r="E12" s="628"/>
      <c r="F12" s="628"/>
      <c r="G12" s="628"/>
      <c r="H12" s="628"/>
      <c r="I12" s="628"/>
      <c r="J12" s="628"/>
      <c r="K12" s="628"/>
      <c r="L12" s="628"/>
      <c r="M12" s="628"/>
      <c r="N12" s="628"/>
      <c r="O12" s="628"/>
      <c r="P12" s="628"/>
      <c r="Q12" s="627"/>
      <c r="R12" s="627"/>
      <c r="S12" s="627"/>
      <c r="T12" s="627"/>
      <c r="U12" s="627"/>
    </row>
    <row r="13" spans="1:21" x14ac:dyDescent="0.25">
      <c r="A13" s="628"/>
      <c r="B13" s="628"/>
      <c r="C13" s="628"/>
      <c r="D13" s="628"/>
      <c r="E13" s="628"/>
      <c r="F13" s="628"/>
      <c r="G13" s="628"/>
      <c r="H13" s="628"/>
      <c r="I13" s="628"/>
      <c r="J13" s="628"/>
      <c r="K13" s="628"/>
      <c r="L13" s="628"/>
      <c r="M13" s="628"/>
      <c r="N13" s="628"/>
      <c r="O13" s="628"/>
      <c r="P13" s="628"/>
      <c r="Q13" s="627"/>
      <c r="R13" s="627"/>
      <c r="S13" s="627"/>
      <c r="T13" s="627"/>
      <c r="U13" s="627"/>
    </row>
    <row r="14" spans="1:21" x14ac:dyDescent="0.25">
      <c r="A14" s="628"/>
      <c r="B14" s="628"/>
      <c r="C14" s="628"/>
      <c r="D14" s="628"/>
      <c r="E14" s="628"/>
      <c r="F14" s="628"/>
      <c r="G14" s="628"/>
      <c r="H14" s="628"/>
      <c r="I14" s="628"/>
      <c r="J14" s="628"/>
      <c r="K14" s="628"/>
      <c r="L14" s="628"/>
      <c r="M14" s="628"/>
      <c r="N14" s="628"/>
      <c r="O14" s="628"/>
      <c r="P14" s="628"/>
      <c r="Q14" s="627"/>
      <c r="R14" s="627"/>
      <c r="S14" s="627"/>
      <c r="T14" s="627"/>
      <c r="U14" s="627"/>
    </row>
    <row r="15" spans="1:21" x14ac:dyDescent="0.25">
      <c r="A15" s="628"/>
      <c r="B15" s="628"/>
      <c r="C15" s="628"/>
      <c r="D15" s="628"/>
      <c r="E15" s="628"/>
      <c r="F15" s="628"/>
      <c r="G15" s="628"/>
      <c r="H15" s="628"/>
      <c r="I15" s="628"/>
      <c r="J15" s="628"/>
      <c r="K15" s="628"/>
      <c r="L15" s="628"/>
      <c r="M15" s="628"/>
      <c r="N15" s="628"/>
      <c r="O15" s="628"/>
      <c r="P15" s="628"/>
      <c r="Q15" s="627"/>
      <c r="R15" s="627"/>
      <c r="S15" s="627"/>
      <c r="T15" s="627"/>
      <c r="U15" s="627"/>
    </row>
    <row r="16" spans="1:21" x14ac:dyDescent="0.25">
      <c r="A16" s="628"/>
      <c r="B16" s="628"/>
      <c r="C16" s="628"/>
      <c r="D16" s="628"/>
      <c r="E16" s="628"/>
      <c r="F16" s="628"/>
      <c r="G16" s="628"/>
      <c r="H16" s="628"/>
      <c r="I16" s="628"/>
      <c r="J16" s="628"/>
      <c r="K16" s="628"/>
      <c r="L16" s="628"/>
      <c r="M16" s="628"/>
      <c r="N16" s="628"/>
      <c r="O16" s="628"/>
      <c r="P16" s="628"/>
      <c r="Q16" s="627"/>
      <c r="R16" s="627"/>
      <c r="S16" s="627"/>
      <c r="T16" s="627"/>
      <c r="U16" s="627"/>
    </row>
    <row r="17" spans="1:21" x14ac:dyDescent="0.25">
      <c r="A17" s="628"/>
      <c r="B17" s="628"/>
      <c r="C17" s="628"/>
      <c r="D17" s="628"/>
      <c r="E17" s="628"/>
      <c r="F17" s="628"/>
      <c r="G17" s="628"/>
      <c r="H17" s="628"/>
      <c r="I17" s="630"/>
      <c r="J17" s="628"/>
      <c r="K17" s="628"/>
      <c r="L17" s="628"/>
      <c r="M17" s="628"/>
      <c r="N17" s="628"/>
      <c r="O17" s="628"/>
      <c r="P17" s="628"/>
      <c r="Q17" s="627"/>
      <c r="R17" s="627"/>
      <c r="S17" s="627"/>
      <c r="T17" s="627"/>
      <c r="U17" s="627"/>
    </row>
    <row r="18" spans="1:21" x14ac:dyDescent="0.25">
      <c r="A18" s="627"/>
      <c r="B18" s="627"/>
      <c r="C18" s="627"/>
      <c r="D18" s="627"/>
      <c r="E18" s="627"/>
      <c r="F18" s="627"/>
      <c r="G18" s="627"/>
      <c r="H18" s="627"/>
      <c r="I18" s="627"/>
      <c r="J18" s="627"/>
      <c r="K18" s="627"/>
      <c r="L18" s="627"/>
      <c r="M18" s="627"/>
      <c r="N18" s="627"/>
      <c r="O18" s="627"/>
      <c r="P18" s="627"/>
      <c r="Q18" s="627"/>
      <c r="R18" s="627"/>
      <c r="S18" s="627"/>
      <c r="T18" s="627"/>
      <c r="U18" s="627"/>
    </row>
  </sheetData>
  <sheetProtection algorithmName="SHA-512" hashValue="S4xP2/hKf4UT1X50Go5k7PWwc3J/gfhRSHbmWoTBWLW0akNE+xNYqIBlr1gLJwPyY0HrrJymy6A0W1PrAcSESw==" saltValue="HmVVIPx7tzJefpz0SJ/s3w==" spinCount="100000" sheet="1" objects="1" scenarios="1"/>
  <mergeCells count="3">
    <mergeCell ref="B5:P5"/>
    <mergeCell ref="B6:P6"/>
    <mergeCell ref="B7:P7"/>
  </mergeCells>
  <pageMargins left="0.7" right="0.7" top="0.75" bottom="0.75" header="0.3" footer="0.3"/>
  <pageSetup paperSize="9" scale="91" orientation="landscape" r:id="rId1"/>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B22"/>
  <sheetViews>
    <sheetView topLeftCell="A13" workbookViewId="0">
      <selection activeCell="P43" sqref="P43"/>
    </sheetView>
  </sheetViews>
  <sheetFormatPr defaultColWidth="8.85546875" defaultRowHeight="15" x14ac:dyDescent="0.25"/>
  <cols>
    <col min="2" max="2" width="9.140625" customWidth="1"/>
  </cols>
  <sheetData>
    <row r="5" spans="2:2" x14ac:dyDescent="0.25">
      <c r="B5" s="30"/>
    </row>
    <row r="6" spans="2:2" x14ac:dyDescent="0.25">
      <c r="B6" s="30"/>
    </row>
    <row r="7" spans="2:2" x14ac:dyDescent="0.25">
      <c r="B7" s="30"/>
    </row>
    <row r="8" spans="2:2" x14ac:dyDescent="0.25">
      <c r="B8" s="30"/>
    </row>
    <row r="9" spans="2:2" x14ac:dyDescent="0.25">
      <c r="B9" s="30"/>
    </row>
    <row r="10" spans="2:2" x14ac:dyDescent="0.25">
      <c r="B10" s="30"/>
    </row>
    <row r="11" spans="2:2" x14ac:dyDescent="0.25">
      <c r="B11" s="30"/>
    </row>
    <row r="12" spans="2:2" x14ac:dyDescent="0.25">
      <c r="B12" s="30"/>
    </row>
    <row r="13" spans="2:2" x14ac:dyDescent="0.25">
      <c r="B13" s="30"/>
    </row>
    <row r="14" spans="2:2" x14ac:dyDescent="0.25">
      <c r="B14" s="30"/>
    </row>
    <row r="15" spans="2:2" x14ac:dyDescent="0.25">
      <c r="B15" s="30"/>
    </row>
    <row r="16" spans="2:2" x14ac:dyDescent="0.25">
      <c r="B16" s="30"/>
    </row>
    <row r="17" spans="2:2" x14ac:dyDescent="0.25">
      <c r="B17" s="30"/>
    </row>
    <row r="18" spans="2:2" x14ac:dyDescent="0.25">
      <c r="B18" s="30"/>
    </row>
    <row r="19" spans="2:2" x14ac:dyDescent="0.25">
      <c r="B19" s="30"/>
    </row>
    <row r="20" spans="2:2" x14ac:dyDescent="0.25">
      <c r="B20" s="30"/>
    </row>
    <row r="21" spans="2:2" x14ac:dyDescent="0.25">
      <c r="B21" s="30"/>
    </row>
    <row r="22" spans="2:2" x14ac:dyDescent="0.25">
      <c r="B22" s="3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H9" sqref="H9:I9"/>
    </sheetView>
  </sheetViews>
  <sheetFormatPr defaultColWidth="8.8554687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36" sqref="L36:L37"/>
    </sheetView>
  </sheetViews>
  <sheetFormatPr defaultColWidth="8.8554687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BACD-C024-4ADC-B854-BB0FD004EC57}">
  <dimension ref="B3:N126"/>
  <sheetViews>
    <sheetView topLeftCell="A93" workbookViewId="0">
      <selection activeCell="C126" sqref="C126"/>
    </sheetView>
  </sheetViews>
  <sheetFormatPr defaultRowHeight="15" x14ac:dyDescent="0.25"/>
  <cols>
    <col min="3" max="3" width="72.42578125" bestFit="1" customWidth="1"/>
  </cols>
  <sheetData>
    <row r="3" spans="2:5" x14ac:dyDescent="0.25">
      <c r="B3" s="1280">
        <v>44789</v>
      </c>
      <c r="C3" s="67" t="s">
        <v>1075</v>
      </c>
      <c r="D3" s="67"/>
      <c r="E3" s="67"/>
    </row>
    <row r="4" spans="2:5" x14ac:dyDescent="0.25">
      <c r="B4" s="1280">
        <v>44796</v>
      </c>
      <c r="C4" s="67" t="s">
        <v>1084</v>
      </c>
      <c r="D4" s="67"/>
      <c r="E4" s="67"/>
    </row>
    <row r="5" spans="2:5" x14ac:dyDescent="0.25">
      <c r="B5" s="1280">
        <v>44796</v>
      </c>
      <c r="C5" s="67" t="s">
        <v>1077</v>
      </c>
      <c r="D5" s="67"/>
      <c r="E5" s="67"/>
    </row>
    <row r="6" spans="2:5" x14ac:dyDescent="0.25">
      <c r="B6" s="1280">
        <v>44796</v>
      </c>
      <c r="C6" s="67" t="s">
        <v>1082</v>
      </c>
      <c r="D6" s="67"/>
      <c r="E6" s="67"/>
    </row>
    <row r="7" spans="2:5" x14ac:dyDescent="0.25">
      <c r="B7" s="1280">
        <v>44796</v>
      </c>
      <c r="C7" s="67" t="s">
        <v>1083</v>
      </c>
      <c r="D7" s="67"/>
      <c r="E7" s="67"/>
    </row>
    <row r="8" spans="2:5" x14ac:dyDescent="0.25">
      <c r="B8" s="49"/>
      <c r="C8" s="49"/>
      <c r="D8" s="49"/>
      <c r="E8" s="49"/>
    </row>
    <row r="9" spans="2:5" x14ac:dyDescent="0.25">
      <c r="B9" s="49"/>
      <c r="C9" s="49"/>
      <c r="D9" s="49"/>
      <c r="E9" s="49"/>
    </row>
    <row r="10" spans="2:5" x14ac:dyDescent="0.25">
      <c r="B10" s="49"/>
      <c r="C10" s="49"/>
      <c r="D10" s="49"/>
      <c r="E10" s="49"/>
    </row>
    <row r="11" spans="2:5" ht="75" x14ac:dyDescent="0.25">
      <c r="B11" s="1280">
        <v>44805</v>
      </c>
      <c r="C11" s="1281" t="s">
        <v>1086</v>
      </c>
      <c r="D11" s="49"/>
      <c r="E11" s="49"/>
    </row>
    <row r="12" spans="2:5" x14ac:dyDescent="0.25">
      <c r="B12" s="1280">
        <v>44805</v>
      </c>
      <c r="C12" s="67" t="s">
        <v>1087</v>
      </c>
      <c r="D12" s="49"/>
      <c r="E12" s="49"/>
    </row>
    <row r="13" spans="2:5" x14ac:dyDescent="0.25">
      <c r="B13" s="1280">
        <v>44805</v>
      </c>
      <c r="C13" s="67" t="s">
        <v>1088</v>
      </c>
      <c r="D13" s="49"/>
      <c r="E13" s="49"/>
    </row>
    <row r="14" spans="2:5" x14ac:dyDescent="0.25">
      <c r="B14" s="1280">
        <v>44805</v>
      </c>
      <c r="C14" s="67" t="s">
        <v>1089</v>
      </c>
      <c r="D14" s="49"/>
      <c r="E14" s="49"/>
    </row>
    <row r="15" spans="2:5" x14ac:dyDescent="0.25">
      <c r="B15" s="1280">
        <v>44805</v>
      </c>
      <c r="C15" s="1282" t="s">
        <v>1090</v>
      </c>
      <c r="D15" s="49"/>
      <c r="E15" s="49"/>
    </row>
    <row r="16" spans="2:5" x14ac:dyDescent="0.25">
      <c r="B16" s="1280">
        <v>44805</v>
      </c>
      <c r="C16" s="1282" t="s">
        <v>1091</v>
      </c>
      <c r="D16" s="49"/>
      <c r="E16" s="49"/>
    </row>
    <row r="17" spans="2:5" x14ac:dyDescent="0.25">
      <c r="B17" s="49"/>
      <c r="C17" s="49"/>
      <c r="D17" s="49"/>
      <c r="E17" s="49"/>
    </row>
    <row r="18" spans="2:5" x14ac:dyDescent="0.25">
      <c r="B18" s="49"/>
      <c r="C18" s="49"/>
      <c r="D18" s="49"/>
      <c r="E18" s="49"/>
    </row>
    <row r="19" spans="2:5" x14ac:dyDescent="0.25">
      <c r="B19" s="1275"/>
      <c r="C19" s="49"/>
      <c r="D19" s="49"/>
      <c r="E19" s="49"/>
    </row>
    <row r="20" spans="2:5" x14ac:dyDescent="0.25">
      <c r="B20" s="49"/>
      <c r="C20" s="49"/>
      <c r="D20" s="49"/>
      <c r="E20" s="49"/>
    </row>
    <row r="21" spans="2:5" x14ac:dyDescent="0.25">
      <c r="B21" s="49"/>
      <c r="C21" s="49"/>
      <c r="D21" s="49"/>
      <c r="E21" s="49"/>
    </row>
    <row r="22" spans="2:5" x14ac:dyDescent="0.25">
      <c r="B22" s="49"/>
      <c r="C22" s="49"/>
      <c r="D22" s="49"/>
      <c r="E22" s="49"/>
    </row>
    <row r="23" spans="2:5" x14ac:dyDescent="0.25">
      <c r="B23" s="49"/>
      <c r="C23" s="49"/>
      <c r="D23" s="49"/>
      <c r="E23" s="49"/>
    </row>
    <row r="24" spans="2:5" x14ac:dyDescent="0.25">
      <c r="B24" s="67"/>
      <c r="C24" s="1283" t="s">
        <v>1095</v>
      </c>
      <c r="D24" s="1279"/>
      <c r="E24" s="49"/>
    </row>
    <row r="25" spans="2:5" x14ac:dyDescent="0.25">
      <c r="B25" s="1280">
        <v>44879</v>
      </c>
      <c r="C25" s="67" t="s">
        <v>1096</v>
      </c>
      <c r="D25" s="1279"/>
      <c r="E25" s="49"/>
    </row>
    <row r="26" spans="2:5" x14ac:dyDescent="0.25">
      <c r="B26" s="1280">
        <v>44879</v>
      </c>
      <c r="C26" s="67" t="s">
        <v>1097</v>
      </c>
      <c r="D26" s="1279"/>
      <c r="E26" s="49"/>
    </row>
    <row r="27" spans="2:5" x14ac:dyDescent="0.25">
      <c r="B27" s="1280">
        <v>44879</v>
      </c>
      <c r="C27" s="67" t="s">
        <v>1098</v>
      </c>
      <c r="D27" s="1279"/>
      <c r="E27" s="49"/>
    </row>
    <row r="28" spans="2:5" x14ac:dyDescent="0.25">
      <c r="B28" s="1280">
        <v>44879</v>
      </c>
      <c r="C28" s="67" t="s">
        <v>1099</v>
      </c>
      <c r="D28" s="1279"/>
      <c r="E28" s="49"/>
    </row>
    <row r="29" spans="2:5" x14ac:dyDescent="0.25">
      <c r="B29" s="1280">
        <v>44879</v>
      </c>
      <c r="C29" s="67" t="s">
        <v>1100</v>
      </c>
      <c r="D29" s="1279"/>
      <c r="E29" s="49"/>
    </row>
    <row r="30" spans="2:5" x14ac:dyDescent="0.25">
      <c r="B30" s="1280">
        <v>44879</v>
      </c>
      <c r="C30" s="67" t="s">
        <v>1101</v>
      </c>
      <c r="D30" s="1279"/>
      <c r="E30" s="49"/>
    </row>
    <row r="31" spans="2:5" x14ac:dyDescent="0.25">
      <c r="B31" s="1280">
        <v>44879</v>
      </c>
      <c r="C31" s="67" t="s">
        <v>1102</v>
      </c>
    </row>
    <row r="32" spans="2:5" x14ac:dyDescent="0.25">
      <c r="B32" s="1280">
        <v>44879</v>
      </c>
      <c r="C32" s="67" t="s">
        <v>1103</v>
      </c>
    </row>
    <row r="35" spans="2:5" x14ac:dyDescent="0.25">
      <c r="B35" s="1280">
        <v>44885</v>
      </c>
      <c r="C35" s="67" t="s">
        <v>1105</v>
      </c>
      <c r="D35" s="49"/>
      <c r="E35" s="49"/>
    </row>
    <row r="36" spans="2:5" x14ac:dyDescent="0.25">
      <c r="B36" s="1280">
        <v>44885</v>
      </c>
      <c r="C36" s="1284" t="s">
        <v>1106</v>
      </c>
    </row>
    <row r="37" spans="2:5" x14ac:dyDescent="0.25">
      <c r="B37" s="1280">
        <v>44885</v>
      </c>
      <c r="C37" s="1284" t="s">
        <v>1107</v>
      </c>
    </row>
    <row r="38" spans="2:5" x14ac:dyDescent="0.25">
      <c r="B38" s="1280">
        <v>44885</v>
      </c>
      <c r="C38" s="1284" t="s">
        <v>1109</v>
      </c>
    </row>
    <row r="41" spans="2:5" x14ac:dyDescent="0.25">
      <c r="B41" s="1287" t="s">
        <v>1111</v>
      </c>
      <c r="C41" s="1287">
        <v>120423</v>
      </c>
    </row>
    <row r="42" spans="2:5" x14ac:dyDescent="0.25">
      <c r="B42" s="68" t="s">
        <v>134</v>
      </c>
      <c r="C42" s="1287" t="s">
        <v>1113</v>
      </c>
    </row>
    <row r="43" spans="2:5" x14ac:dyDescent="0.25">
      <c r="C43" s="1289" t="s">
        <v>1114</v>
      </c>
    </row>
    <row r="44" spans="2:5" x14ac:dyDescent="0.25">
      <c r="C44" s="1289" t="s">
        <v>1115</v>
      </c>
    </row>
    <row r="46" spans="2:5" x14ac:dyDescent="0.25">
      <c r="B46" s="68" t="s">
        <v>116</v>
      </c>
      <c r="C46" t="s">
        <v>1116</v>
      </c>
    </row>
    <row r="47" spans="2:5" x14ac:dyDescent="0.25">
      <c r="C47" t="s">
        <v>1117</v>
      </c>
    </row>
    <row r="50" spans="2:14" x14ac:dyDescent="0.25">
      <c r="B50" s="68" t="s">
        <v>117</v>
      </c>
      <c r="C50" s="1290" t="s">
        <v>1118</v>
      </c>
    </row>
    <row r="51" spans="2:14" x14ac:dyDescent="0.25">
      <c r="C51" t="s">
        <v>1119</v>
      </c>
    </row>
    <row r="54" spans="2:14" s="1043" customFormat="1" x14ac:dyDescent="0.25"/>
    <row r="55" spans="2:14" s="1043" customFormat="1" x14ac:dyDescent="0.25">
      <c r="C55" s="1412" t="s">
        <v>1140</v>
      </c>
      <c r="D55" s="1412"/>
      <c r="E55" s="1412"/>
      <c r="F55" s="1412"/>
      <c r="G55" s="1412"/>
      <c r="H55" s="1412"/>
      <c r="I55" s="1412"/>
      <c r="J55" s="1412"/>
      <c r="K55" s="1412"/>
      <c r="L55" s="1412"/>
      <c r="M55" s="1412"/>
      <c r="N55" s="1412"/>
    </row>
    <row r="56" spans="2:14" s="1043" customFormat="1" x14ac:dyDescent="0.25">
      <c r="C56" s="1412"/>
      <c r="D56" s="1412"/>
      <c r="E56" s="1412"/>
      <c r="F56" s="1412"/>
      <c r="G56" s="1412"/>
      <c r="H56" s="1412"/>
      <c r="I56" s="1412"/>
      <c r="J56" s="1412"/>
      <c r="K56" s="1412"/>
      <c r="L56" s="1412"/>
      <c r="M56" s="1412"/>
      <c r="N56" s="1412"/>
    </row>
    <row r="57" spans="2:14" s="1043" customFormat="1" x14ac:dyDescent="0.25">
      <c r="C57" s="1412"/>
      <c r="D57" s="1412"/>
      <c r="E57" s="1412"/>
      <c r="F57" s="1412"/>
      <c r="G57" s="1412"/>
      <c r="H57" s="1412"/>
      <c r="I57" s="1412"/>
      <c r="J57" s="1412"/>
      <c r="K57" s="1412"/>
      <c r="L57" s="1412"/>
      <c r="M57" s="1412"/>
      <c r="N57" s="1412"/>
    </row>
    <row r="58" spans="2:14" s="1043" customFormat="1" x14ac:dyDescent="0.25">
      <c r="C58" s="1412"/>
      <c r="D58" s="1412"/>
      <c r="E58" s="1412"/>
      <c r="F58" s="1412"/>
      <c r="G58" s="1412"/>
      <c r="H58" s="1412"/>
      <c r="I58" s="1412"/>
      <c r="J58" s="1412"/>
      <c r="K58" s="1412"/>
      <c r="L58" s="1412"/>
      <c r="M58" s="1412"/>
      <c r="N58" s="1412"/>
    </row>
    <row r="59" spans="2:14" s="1043" customFormat="1" x14ac:dyDescent="0.25">
      <c r="C59" s="68"/>
      <c r="D59" s="68"/>
      <c r="E59" s="68"/>
      <c r="F59" s="68"/>
      <c r="G59" s="68"/>
      <c r="H59" s="68"/>
      <c r="I59" s="68"/>
      <c r="J59" s="68"/>
      <c r="K59" s="68"/>
      <c r="L59" s="68"/>
      <c r="M59" s="68"/>
      <c r="N59" s="68"/>
    </row>
    <row r="60" spans="2:14" s="1043" customFormat="1" x14ac:dyDescent="0.25">
      <c r="C60" s="68"/>
      <c r="D60" s="68"/>
      <c r="E60" s="68"/>
      <c r="F60" s="68"/>
      <c r="G60" s="68"/>
      <c r="H60" s="68"/>
      <c r="I60" s="68"/>
      <c r="J60" s="68"/>
      <c r="K60" s="68"/>
      <c r="L60" s="68"/>
      <c r="M60" s="68"/>
      <c r="N60" s="68"/>
    </row>
    <row r="61" spans="2:14" s="1043" customFormat="1" x14ac:dyDescent="0.25">
      <c r="C61" s="68"/>
      <c r="D61" s="68"/>
      <c r="E61" s="68"/>
      <c r="F61" s="68"/>
      <c r="G61" s="68"/>
      <c r="H61" s="68"/>
      <c r="I61" s="68"/>
      <c r="J61" s="68"/>
      <c r="K61" s="68"/>
      <c r="L61" s="68"/>
      <c r="M61" s="68"/>
      <c r="N61" s="68"/>
    </row>
    <row r="62" spans="2:14" s="1043" customFormat="1" x14ac:dyDescent="0.25">
      <c r="C62" s="1292" t="s">
        <v>1141</v>
      </c>
      <c r="D62" s="68"/>
      <c r="E62" s="68"/>
      <c r="F62" s="68"/>
      <c r="G62" s="68"/>
      <c r="H62" s="68"/>
      <c r="I62" s="68"/>
      <c r="J62" s="68"/>
      <c r="K62" s="68"/>
      <c r="L62" s="68"/>
      <c r="M62" s="68"/>
      <c r="N62" s="68"/>
    </row>
    <row r="63" spans="2:14" s="1043" customFormat="1" x14ac:dyDescent="0.25">
      <c r="C63" s="1292" t="s">
        <v>1142</v>
      </c>
      <c r="D63" s="68"/>
      <c r="E63" s="68"/>
      <c r="F63" s="68"/>
      <c r="G63" s="68"/>
      <c r="H63" s="68"/>
      <c r="I63" s="68"/>
      <c r="J63" s="68"/>
      <c r="K63" s="68"/>
      <c r="L63" s="68"/>
      <c r="M63" s="68"/>
      <c r="N63" s="68"/>
    </row>
    <row r="64" spans="2:14" s="1043" customFormat="1" x14ac:dyDescent="0.25"/>
    <row r="65" spans="2:3" s="1043" customFormat="1" x14ac:dyDescent="0.25"/>
    <row r="66" spans="2:3" s="1043" customFormat="1" x14ac:dyDescent="0.25"/>
    <row r="67" spans="2:3" s="1043" customFormat="1" x14ac:dyDescent="0.25"/>
    <row r="68" spans="2:3" s="1043" customFormat="1" x14ac:dyDescent="0.25"/>
    <row r="69" spans="2:3" s="1043" customFormat="1" x14ac:dyDescent="0.25"/>
    <row r="70" spans="2:3" x14ac:dyDescent="0.25">
      <c r="B70" s="68" t="s">
        <v>168</v>
      </c>
      <c r="C70" t="s">
        <v>1120</v>
      </c>
    </row>
    <row r="71" spans="2:3" x14ac:dyDescent="0.25">
      <c r="C71" s="1289" t="s">
        <v>1121</v>
      </c>
    </row>
    <row r="76" spans="2:3" x14ac:dyDescent="0.25">
      <c r="B76" s="68" t="s">
        <v>176</v>
      </c>
      <c r="C76" t="s">
        <v>1122</v>
      </c>
    </row>
    <row r="77" spans="2:3" x14ac:dyDescent="0.25">
      <c r="C77" t="s">
        <v>1123</v>
      </c>
    </row>
    <row r="78" spans="2:3" x14ac:dyDescent="0.25">
      <c r="C78" t="s">
        <v>1124</v>
      </c>
    </row>
    <row r="80" spans="2:3" x14ac:dyDescent="0.25">
      <c r="B80" s="68" t="s">
        <v>176</v>
      </c>
      <c r="C80" t="s">
        <v>1126</v>
      </c>
    </row>
    <row r="82" spans="2:14" x14ac:dyDescent="0.25">
      <c r="N82" s="1043"/>
    </row>
    <row r="83" spans="2:14" x14ac:dyDescent="0.25">
      <c r="B83" s="68"/>
      <c r="C83" s="1291" t="s">
        <v>1127</v>
      </c>
    </row>
    <row r="84" spans="2:14" x14ac:dyDescent="0.25">
      <c r="C84" s="1290" t="s">
        <v>1128</v>
      </c>
    </row>
    <row r="86" spans="2:14" x14ac:dyDescent="0.25">
      <c r="C86" t="s">
        <v>1129</v>
      </c>
    </row>
    <row r="89" spans="2:14" x14ac:dyDescent="0.25">
      <c r="B89" s="68" t="s">
        <v>93</v>
      </c>
      <c r="C89" t="s">
        <v>1054</v>
      </c>
    </row>
    <row r="90" spans="2:14" x14ac:dyDescent="0.25">
      <c r="C90" t="s">
        <v>1131</v>
      </c>
    </row>
    <row r="94" spans="2:14" x14ac:dyDescent="0.25">
      <c r="B94" s="68" t="s">
        <v>117</v>
      </c>
      <c r="C94" t="s">
        <v>1133</v>
      </c>
    </row>
    <row r="95" spans="2:14" x14ac:dyDescent="0.25">
      <c r="C95" t="s">
        <v>1132</v>
      </c>
    </row>
    <row r="100" spans="2:3" x14ac:dyDescent="0.25">
      <c r="B100" s="68" t="s">
        <v>170</v>
      </c>
      <c r="C100" t="s">
        <v>1136</v>
      </c>
    </row>
    <row r="101" spans="2:3" x14ac:dyDescent="0.25">
      <c r="C101" t="s">
        <v>1137</v>
      </c>
    </row>
    <row r="103" spans="2:3" x14ac:dyDescent="0.25">
      <c r="C103" t="s">
        <v>1134</v>
      </c>
    </row>
    <row r="104" spans="2:3" x14ac:dyDescent="0.25">
      <c r="C104" t="s">
        <v>1135</v>
      </c>
    </row>
    <row r="107" spans="2:3" x14ac:dyDescent="0.25">
      <c r="B107" t="s">
        <v>1146</v>
      </c>
    </row>
    <row r="108" spans="2:3" ht="105" x14ac:dyDescent="0.25">
      <c r="C108" s="1293" t="s">
        <v>1147</v>
      </c>
    </row>
    <row r="109" spans="2:3" x14ac:dyDescent="0.25">
      <c r="C109" s="1294"/>
    </row>
    <row r="110" spans="2:3" x14ac:dyDescent="0.25">
      <c r="C110" s="1296" t="s">
        <v>1148</v>
      </c>
    </row>
    <row r="111" spans="2:3" x14ac:dyDescent="0.25">
      <c r="C111" s="1296" t="s">
        <v>1149</v>
      </c>
    </row>
    <row r="112" spans="2:3" x14ac:dyDescent="0.25">
      <c r="C112" s="1296" t="s">
        <v>1150</v>
      </c>
    </row>
    <row r="113" spans="3:3" x14ac:dyDescent="0.25">
      <c r="C113" s="1296" t="s">
        <v>1151</v>
      </c>
    </row>
    <row r="114" spans="3:3" x14ac:dyDescent="0.25">
      <c r="C114" s="68"/>
    </row>
    <row r="116" spans="3:3" x14ac:dyDescent="0.25">
      <c r="C116" s="1297" t="s">
        <v>1157</v>
      </c>
    </row>
    <row r="117" spans="3:3" x14ac:dyDescent="0.25">
      <c r="C117" s="1298" t="s">
        <v>1158</v>
      </c>
    </row>
    <row r="118" spans="3:3" x14ac:dyDescent="0.25">
      <c r="C118" s="1298" t="s">
        <v>1159</v>
      </c>
    </row>
    <row r="119" spans="3:3" x14ac:dyDescent="0.25">
      <c r="C119" s="1298" t="s">
        <v>1160</v>
      </c>
    </row>
    <row r="120" spans="3:3" x14ac:dyDescent="0.25">
      <c r="C120" s="1299" t="s">
        <v>1161</v>
      </c>
    </row>
    <row r="121" spans="3:3" x14ac:dyDescent="0.25">
      <c r="C121" s="1292"/>
    </row>
    <row r="122" spans="3:3" x14ac:dyDescent="0.25">
      <c r="C122" s="1292"/>
    </row>
    <row r="123" spans="3:3" x14ac:dyDescent="0.25">
      <c r="C123" s="1298" t="s">
        <v>1162</v>
      </c>
    </row>
    <row r="124" spans="3:3" x14ac:dyDescent="0.25">
      <c r="C124" s="1298" t="s">
        <v>1163</v>
      </c>
    </row>
    <row r="126" spans="3:3" x14ac:dyDescent="0.25">
      <c r="C126" s="68" t="s">
        <v>1166</v>
      </c>
    </row>
  </sheetData>
  <sheetProtection algorithmName="SHA-512" hashValue="QK+Fnb18ZjWQ/OMqlnS+BIg90fQhsaLD4wUZevJoB8LgI6TXWXkfXz3ZlQVaN2niUGfRz845FxYKQr7aJTUPcw==" saltValue="GFcVPW8T639W8WwVAEhurw==" spinCount="100000" sheet="1" objects="1" scenarios="1"/>
  <mergeCells count="1">
    <mergeCell ref="C55:N5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H186"/>
  <sheetViews>
    <sheetView showGridLines="0" zoomScaleNormal="100" zoomScalePageLayoutView="90" workbookViewId="0">
      <pane ySplit="3" topLeftCell="A4" activePane="bottomLeft" state="frozen"/>
      <selection activeCell="H9" sqref="H9:I9"/>
      <selection pane="bottomLeft" activeCell="F10" sqref="F10"/>
    </sheetView>
  </sheetViews>
  <sheetFormatPr defaultColWidth="9.140625" defaultRowHeight="15" x14ac:dyDescent="0.25"/>
  <cols>
    <col min="1" max="1" width="2.7109375" style="512" customWidth="1"/>
    <col min="2" max="2" width="37.85546875" style="512" customWidth="1"/>
    <col min="3" max="3" width="59.85546875" style="512" customWidth="1"/>
    <col min="4" max="4" width="5.5703125" style="512" customWidth="1"/>
    <col min="5" max="5" width="102.140625" style="512" customWidth="1"/>
    <col min="6" max="6" width="56.5703125" style="512" customWidth="1"/>
    <col min="7" max="7" width="7.28515625" style="512" hidden="1" customWidth="1"/>
    <col min="8" max="8" width="11.42578125" style="512" hidden="1" customWidth="1"/>
    <col min="9" max="9" width="12.140625" style="512" hidden="1" customWidth="1"/>
    <col min="10" max="11" width="17" style="512" hidden="1" customWidth="1"/>
    <col min="12" max="12" width="42.140625" style="512" hidden="1" customWidth="1"/>
    <col min="13" max="13" width="30.85546875" style="512" hidden="1" customWidth="1"/>
    <col min="14" max="14" width="16.5703125" style="512" hidden="1" customWidth="1"/>
    <col min="15" max="15" width="34.5703125" style="512" hidden="1" customWidth="1"/>
    <col min="16" max="16" width="6.140625" style="512" hidden="1" customWidth="1"/>
    <col min="17" max="17" width="74.7109375" style="512" hidden="1" customWidth="1"/>
    <col min="18" max="18" width="30.28515625" style="512" hidden="1" customWidth="1"/>
    <col min="19" max="19" width="41.140625" style="512" hidden="1" customWidth="1"/>
    <col min="20" max="20" width="32" style="512" hidden="1" customWidth="1"/>
    <col min="21" max="25" width="31.140625" style="512" hidden="1" customWidth="1"/>
    <col min="26" max="26" width="60.7109375" style="512" hidden="1" customWidth="1"/>
    <col min="27" max="30" width="31.140625" style="512" hidden="1" customWidth="1"/>
    <col min="31" max="31" width="11.42578125" style="512" hidden="1" customWidth="1"/>
    <col min="32" max="34" width="9.140625" style="512" hidden="1" customWidth="1"/>
    <col min="35" max="120" width="9.140625" style="512" customWidth="1"/>
    <col min="121" max="16384" width="9.140625" style="512"/>
  </cols>
  <sheetData>
    <row r="1" spans="2:32" s="1" customFormat="1" x14ac:dyDescent="0.25">
      <c r="B1" s="418"/>
      <c r="C1" s="418"/>
      <c r="E1" s="2"/>
      <c r="G1" s="512"/>
      <c r="H1" s="512"/>
      <c r="I1" s="512"/>
      <c r="O1" s="17"/>
      <c r="P1" s="17"/>
      <c r="Q1" s="17"/>
      <c r="R1" s="17"/>
      <c r="S1" s="17"/>
      <c r="T1" s="17"/>
      <c r="U1" s="17"/>
      <c r="V1" s="17"/>
      <c r="W1" s="17"/>
      <c r="X1" s="17"/>
      <c r="Y1" s="17"/>
      <c r="Z1" s="17"/>
      <c r="AA1" s="17"/>
      <c r="AB1" s="17"/>
      <c r="AC1" s="17"/>
      <c r="AD1" s="17"/>
    </row>
    <row r="2" spans="2:32" s="1" customFormat="1" ht="42" customHeight="1" x14ac:dyDescent="0.25">
      <c r="B2" s="513" t="s">
        <v>965</v>
      </c>
      <c r="C2" s="514"/>
      <c r="D2" s="514"/>
      <c r="E2" s="514"/>
      <c r="F2" s="636" t="str">
        <f>IF('Manuell filtrering og justering'!I2='Manuell filtrering og justering'!J2,"Bespoke","")</f>
        <v/>
      </c>
      <c r="G2" s="512"/>
      <c r="H2" s="512"/>
      <c r="I2" s="512"/>
      <c r="O2" s="17"/>
      <c r="P2" s="17"/>
      <c r="Q2" s="17"/>
      <c r="R2" s="17"/>
      <c r="S2" s="17"/>
      <c r="T2" s="17"/>
      <c r="U2" s="17"/>
      <c r="V2" s="17"/>
      <c r="W2" s="17"/>
      <c r="X2" s="17"/>
      <c r="Y2" s="17"/>
      <c r="Z2" s="17"/>
      <c r="AA2" s="17"/>
      <c r="AB2" s="17"/>
      <c r="AC2" s="17"/>
      <c r="AD2" s="17"/>
    </row>
    <row r="3" spans="2:32" s="1" customFormat="1" x14ac:dyDescent="0.25">
      <c r="B3" s="515"/>
      <c r="C3" s="515"/>
      <c r="E3" s="2"/>
      <c r="F3" s="516"/>
      <c r="G3" s="512"/>
      <c r="H3" s="512"/>
      <c r="I3" s="512"/>
      <c r="O3" s="17"/>
      <c r="P3" s="17"/>
      <c r="Q3" s="17"/>
      <c r="R3" s="93"/>
      <c r="S3" s="93"/>
      <c r="T3" s="93"/>
      <c r="U3" s="93"/>
      <c r="V3" s="93"/>
      <c r="W3" s="93"/>
      <c r="X3" s="93"/>
      <c r="Y3" s="93"/>
      <c r="Z3" s="93"/>
      <c r="AA3" s="93"/>
      <c r="AB3" s="93"/>
      <c r="AC3" s="93"/>
      <c r="AD3" s="93"/>
      <c r="AE3" s="93"/>
    </row>
    <row r="4" spans="2:32" s="1" customFormat="1" ht="18.75" x14ac:dyDescent="0.3">
      <c r="B4" s="517" t="s">
        <v>46</v>
      </c>
      <c r="C4" s="7"/>
      <c r="E4" s="517" t="s">
        <v>20</v>
      </c>
      <c r="F4" s="517"/>
      <c r="G4" s="512"/>
      <c r="H4" s="512"/>
      <c r="I4" s="512"/>
      <c r="L4" s="12"/>
      <c r="M4" s="12"/>
      <c r="N4" s="12"/>
      <c r="O4" s="17"/>
      <c r="P4" s="17"/>
      <c r="Q4" s="17"/>
      <c r="R4" s="17"/>
      <c r="S4" s="17"/>
      <c r="T4" s="17"/>
      <c r="U4" s="17"/>
      <c r="V4" s="17"/>
      <c r="W4" s="17"/>
      <c r="X4" s="17"/>
      <c r="Y4" s="17"/>
      <c r="Z4" s="17"/>
      <c r="AA4" s="17"/>
      <c r="AB4" s="17"/>
      <c r="AC4" s="17"/>
      <c r="AD4" s="17"/>
    </row>
    <row r="5" spans="2:32" s="1" customFormat="1" ht="15.75" x14ac:dyDescent="0.25">
      <c r="B5" s="518" t="s">
        <v>16</v>
      </c>
      <c r="C5" s="608"/>
      <c r="D5" s="512"/>
      <c r="E5" s="520" t="s">
        <v>51</v>
      </c>
      <c r="F5" s="519" t="s">
        <v>30</v>
      </c>
      <c r="G5" s="512"/>
      <c r="H5" s="512"/>
      <c r="I5" s="512"/>
      <c r="J5" s="512"/>
      <c r="K5" s="512"/>
      <c r="L5" s="91" t="str">
        <f>IF('Manuell filtrering og justering'!I2='Manuell filtrering og justering'!J2,'Manuell filtrering og justering'!H2,M6)</f>
        <v>Industrial</v>
      </c>
      <c r="M5" s="367" t="s">
        <v>30</v>
      </c>
      <c r="N5" s="12"/>
      <c r="O5" s="91" t="str">
        <f t="shared" ref="O5:O13" si="0">IF(HLOOKUP(ADBT0,$R$5:$AE$14,AF6,FALSE)=0,"",HLOOKUP(ADBT0,$R$5:$AE$14,AF6,FALSE))</f>
        <v>General office buildings</v>
      </c>
      <c r="P5" s="17"/>
      <c r="Q5" s="91" t="s">
        <v>41</v>
      </c>
      <c r="R5" s="89" t="s">
        <v>31</v>
      </c>
      <c r="S5" s="89" t="s">
        <v>30</v>
      </c>
      <c r="T5" s="89" t="s">
        <v>32</v>
      </c>
      <c r="U5" s="89" t="s">
        <v>33</v>
      </c>
      <c r="V5" s="89" t="s">
        <v>9</v>
      </c>
      <c r="W5" s="89" t="s">
        <v>482</v>
      </c>
      <c r="X5" s="89" t="s">
        <v>483</v>
      </c>
      <c r="Y5" s="89" t="s">
        <v>484</v>
      </c>
      <c r="Z5" s="89" t="s">
        <v>485</v>
      </c>
      <c r="AA5" s="89" t="s">
        <v>486</v>
      </c>
      <c r="AB5" s="89" t="s">
        <v>487</v>
      </c>
      <c r="AC5" s="89" t="s">
        <v>488</v>
      </c>
      <c r="AD5" s="1195" t="s">
        <v>1008</v>
      </c>
      <c r="AE5" s="89" t="s">
        <v>334</v>
      </c>
      <c r="AF5" s="1">
        <v>1</v>
      </c>
    </row>
    <row r="6" spans="2:32" s="1" customFormat="1" ht="15.75" x14ac:dyDescent="0.25">
      <c r="B6" s="521" t="s">
        <v>17</v>
      </c>
      <c r="C6" s="608"/>
      <c r="D6" s="512"/>
      <c r="E6" s="522" t="s">
        <v>23</v>
      </c>
      <c r="F6" s="523" t="s">
        <v>489</v>
      </c>
      <c r="G6" s="512"/>
      <c r="H6" s="512"/>
      <c r="I6" s="512"/>
      <c r="J6" s="512"/>
      <c r="K6" s="512"/>
      <c r="L6" s="91" t="str">
        <f>IF('Manuell filtrering og justering'!I2='Manuell filtrering og justering'!J2,"",M5)</f>
        <v>Office</v>
      </c>
      <c r="M6" s="367" t="s">
        <v>31</v>
      </c>
      <c r="N6" s="12"/>
      <c r="O6" s="91" t="str">
        <f t="shared" si="0"/>
        <v>Offices with research and development areas (i.e. category 1 labs only)</v>
      </c>
      <c r="P6" s="17"/>
      <c r="Q6" s="17"/>
      <c r="R6" s="17" t="s">
        <v>491</v>
      </c>
      <c r="S6" s="17" t="s">
        <v>489</v>
      </c>
      <c r="T6" s="17" t="s">
        <v>493</v>
      </c>
      <c r="U6" s="1" t="s">
        <v>497</v>
      </c>
      <c r="V6" s="1" t="s">
        <v>324</v>
      </c>
      <c r="W6" s="1" t="s">
        <v>501</v>
      </c>
      <c r="X6" s="1" t="s">
        <v>506</v>
      </c>
      <c r="Y6" s="1" t="s">
        <v>511</v>
      </c>
      <c r="Z6" s="1" t="s">
        <v>519</v>
      </c>
      <c r="AA6" s="1" t="s">
        <v>525</v>
      </c>
      <c r="AB6" s="1" t="s">
        <v>528</v>
      </c>
      <c r="AC6" s="1" t="s">
        <v>532</v>
      </c>
      <c r="AD6" s="1" t="s">
        <v>1009</v>
      </c>
      <c r="AE6" s="17" t="s">
        <v>334</v>
      </c>
      <c r="AF6" s="1">
        <v>2</v>
      </c>
    </row>
    <row r="7" spans="2:32" s="1" customFormat="1" ht="15.75" x14ac:dyDescent="0.25">
      <c r="B7" s="521" t="s">
        <v>18</v>
      </c>
      <c r="C7" s="608"/>
      <c r="D7" s="512"/>
      <c r="E7" s="525" t="s">
        <v>24</v>
      </c>
      <c r="F7" s="1300" t="s">
        <v>35</v>
      </c>
      <c r="G7" s="512"/>
      <c r="H7" s="512"/>
      <c r="I7" s="512"/>
      <c r="J7" s="512"/>
      <c r="K7" s="512"/>
      <c r="L7" s="91" t="str">
        <f>IF('Manuell filtrering og justering'!I2='Manuell filtrering og justering'!J2,"",M7)</f>
        <v>Retail</v>
      </c>
      <c r="M7" s="367" t="s">
        <v>32</v>
      </c>
      <c r="N7" s="12"/>
      <c r="O7" s="91" t="str">
        <f t="shared" si="0"/>
        <v/>
      </c>
      <c r="P7" s="17"/>
      <c r="Q7" s="17"/>
      <c r="R7" s="17" t="s">
        <v>492</v>
      </c>
      <c r="S7" s="1" t="s">
        <v>490</v>
      </c>
      <c r="T7" s="17" t="s">
        <v>494</v>
      </c>
      <c r="U7" s="1" t="s">
        <v>498</v>
      </c>
      <c r="V7" s="1" t="s">
        <v>325</v>
      </c>
      <c r="W7" s="1" t="s">
        <v>502</v>
      </c>
      <c r="X7" s="1" t="s">
        <v>507</v>
      </c>
      <c r="Y7" s="1" t="s">
        <v>512</v>
      </c>
      <c r="Z7" s="1" t="s">
        <v>520</v>
      </c>
      <c r="AA7" s="1" t="s">
        <v>526</v>
      </c>
      <c r="AB7" s="1" t="s">
        <v>529</v>
      </c>
      <c r="AC7" s="1" t="s">
        <v>533</v>
      </c>
      <c r="AD7" s="1" t="s">
        <v>1010</v>
      </c>
      <c r="AF7" s="1">
        <v>3</v>
      </c>
    </row>
    <row r="8" spans="2:32" s="1" customFormat="1" ht="15.75" x14ac:dyDescent="0.25">
      <c r="B8" s="521" t="s">
        <v>19</v>
      </c>
      <c r="C8" s="608"/>
      <c r="D8" s="512"/>
      <c r="G8" s="512"/>
      <c r="H8" s="512"/>
      <c r="I8" s="512"/>
      <c r="J8" s="512"/>
      <c r="K8" s="512"/>
      <c r="L8" s="91" t="str">
        <f>IF('Manuell filtrering og justering'!I2='Manuell filtrering og justering'!J2,"",M8)</f>
        <v>Education</v>
      </c>
      <c r="M8" s="367" t="s">
        <v>33</v>
      </c>
      <c r="N8" s="12"/>
      <c r="O8" s="91" t="str">
        <f t="shared" si="0"/>
        <v/>
      </c>
      <c r="P8" s="17"/>
      <c r="Q8" s="24" t="s">
        <v>538</v>
      </c>
      <c r="T8" s="17" t="s">
        <v>495</v>
      </c>
      <c r="U8" s="1" t="s">
        <v>499</v>
      </c>
      <c r="V8" s="1" t="s">
        <v>323</v>
      </c>
      <c r="W8" s="1" t="s">
        <v>503</v>
      </c>
      <c r="X8" s="1" t="s">
        <v>508</v>
      </c>
      <c r="Y8" s="1" t="s">
        <v>513</v>
      </c>
      <c r="Z8" s="1" t="s">
        <v>521</v>
      </c>
      <c r="AA8" s="1" t="s">
        <v>527</v>
      </c>
      <c r="AB8" s="1" t="s">
        <v>530</v>
      </c>
      <c r="AC8" s="1" t="s">
        <v>534</v>
      </c>
      <c r="AD8" s="1" t="s">
        <v>1011</v>
      </c>
      <c r="AE8" s="17"/>
      <c r="AF8" s="1">
        <v>4</v>
      </c>
    </row>
    <row r="9" spans="2:32" s="1" customFormat="1" ht="15.75" x14ac:dyDescent="0.25">
      <c r="B9" s="521" t="s">
        <v>40</v>
      </c>
      <c r="C9" s="608"/>
      <c r="D9" s="512"/>
      <c r="G9" s="512"/>
      <c r="H9" s="512"/>
      <c r="I9" s="512"/>
      <c r="J9" s="512"/>
      <c r="K9" s="512"/>
      <c r="L9" s="91" t="str">
        <f>IF('Manuell filtrering og justering'!I2='Manuell filtrering og justering'!J2,"",M16)</f>
        <v>Residential</v>
      </c>
      <c r="M9" s="367" t="s">
        <v>482</v>
      </c>
      <c r="N9" s="12"/>
      <c r="O9" s="91" t="str">
        <f t="shared" si="0"/>
        <v/>
      </c>
      <c r="P9" s="17"/>
      <c r="Q9" s="17"/>
      <c r="T9" s="1" t="s">
        <v>322</v>
      </c>
      <c r="U9" s="1" t="s">
        <v>536</v>
      </c>
      <c r="W9" s="1" t="s">
        <v>504</v>
      </c>
      <c r="X9" s="1" t="s">
        <v>509</v>
      </c>
      <c r="Y9" s="1" t="s">
        <v>514</v>
      </c>
      <c r="Z9" s="1" t="s">
        <v>522</v>
      </c>
      <c r="AB9" s="1" t="s">
        <v>531</v>
      </c>
      <c r="AC9" s="1" t="s">
        <v>535</v>
      </c>
      <c r="AD9" s="1" t="s">
        <v>1012</v>
      </c>
      <c r="AF9" s="1">
        <v>5</v>
      </c>
    </row>
    <row r="10" spans="2:32" s="1" customFormat="1" ht="15.75" x14ac:dyDescent="0.25">
      <c r="B10" s="525" t="s">
        <v>196</v>
      </c>
      <c r="C10" s="608"/>
      <c r="D10" s="512"/>
      <c r="F10" s="261"/>
      <c r="G10" s="512"/>
      <c r="H10" s="512"/>
      <c r="I10" s="512"/>
      <c r="J10" s="512"/>
      <c r="K10" s="512"/>
      <c r="L10" s="91" t="str">
        <f>IF('Manuell filtrering og justering'!$I$2='Manuell filtrering og justering'!$J$2,"",M9)</f>
        <v>Healthcare</v>
      </c>
      <c r="M10" s="367" t="s">
        <v>483</v>
      </c>
      <c r="N10" s="12"/>
      <c r="O10" s="91" t="str">
        <f t="shared" si="0"/>
        <v/>
      </c>
      <c r="P10" s="17"/>
      <c r="Q10" s="17"/>
      <c r="T10" s="1" t="s">
        <v>496</v>
      </c>
      <c r="U10" s="1" t="s">
        <v>500</v>
      </c>
      <c r="W10" s="1" t="s">
        <v>505</v>
      </c>
      <c r="X10" s="1" t="s">
        <v>510</v>
      </c>
      <c r="Y10" s="1" t="s">
        <v>515</v>
      </c>
      <c r="Z10" s="1" t="s">
        <v>523</v>
      </c>
      <c r="AD10" s="1" t="s">
        <v>1013</v>
      </c>
      <c r="AF10" s="1">
        <v>6</v>
      </c>
    </row>
    <row r="11" spans="2:32" s="1" customFormat="1" ht="15.75" customHeight="1" x14ac:dyDescent="0.25">
      <c r="C11" s="97"/>
      <c r="E11" s="527" t="s">
        <v>303</v>
      </c>
      <c r="F11" s="610"/>
      <c r="G11" s="512"/>
      <c r="H11" s="512"/>
      <c r="I11" s="512"/>
      <c r="J11" s="512"/>
      <c r="K11" s="512"/>
      <c r="L11" s="91" t="str">
        <f>IF('Manuell filtrering og justering'!$I$2='Manuell filtrering og justering'!$J$2,"",M10)</f>
        <v>Prison</v>
      </c>
      <c r="M11" s="367" t="s">
        <v>484</v>
      </c>
      <c r="N11" s="12"/>
      <c r="O11" s="91" t="str">
        <f t="shared" si="0"/>
        <v/>
      </c>
      <c r="P11" s="17"/>
      <c r="Q11" s="91" t="s">
        <v>35</v>
      </c>
      <c r="T11" s="17" t="s">
        <v>326</v>
      </c>
      <c r="Y11" s="1" t="s">
        <v>516</v>
      </c>
      <c r="Z11" s="1" t="s">
        <v>524</v>
      </c>
      <c r="AF11" s="1">
        <v>7</v>
      </c>
    </row>
    <row r="12" spans="2:32" s="1" customFormat="1" ht="15" customHeight="1" x14ac:dyDescent="0.3">
      <c r="B12" s="517" t="s">
        <v>20</v>
      </c>
      <c r="C12" s="609"/>
      <c r="E12" s="521" t="s">
        <v>302</v>
      </c>
      <c r="F12" s="610"/>
      <c r="G12" s="512"/>
      <c r="H12" s="512"/>
      <c r="I12" s="512"/>
      <c r="J12" s="512"/>
      <c r="K12" s="512"/>
      <c r="L12" s="91" t="str">
        <f>IF('Manuell filtrering og justering'!$I$2='Manuell filtrering og justering'!$J$2,"",M11)</f>
        <v>Law Court</v>
      </c>
      <c r="M12" s="367" t="s">
        <v>485</v>
      </c>
      <c r="N12" s="12"/>
      <c r="O12" s="91" t="str">
        <f t="shared" si="0"/>
        <v/>
      </c>
      <c r="P12" s="17"/>
      <c r="Q12" s="91" t="str">
        <f>IF(ADBT0=ADBT12,"","New Construction (shell and core)")</f>
        <v>New Construction (shell and core)</v>
      </c>
      <c r="T12" s="17"/>
      <c r="U12" s="17"/>
      <c r="V12" s="17"/>
      <c r="W12" s="17"/>
      <c r="X12" s="17"/>
      <c r="Y12" s="17" t="s">
        <v>517</v>
      </c>
      <c r="Z12" s="17"/>
      <c r="AA12" s="17"/>
      <c r="AB12" s="17"/>
      <c r="AC12" s="17"/>
      <c r="AD12" s="17"/>
      <c r="AF12" s="1">
        <v>8</v>
      </c>
    </row>
    <row r="13" spans="2:32" s="1" customFormat="1" ht="15.75" customHeight="1" x14ac:dyDescent="0.25">
      <c r="B13" s="518" t="s">
        <v>21</v>
      </c>
      <c r="C13" s="610"/>
      <c r="E13" s="1285" t="s">
        <v>304</v>
      </c>
      <c r="F13" s="610"/>
      <c r="G13" s="512"/>
      <c r="H13" s="512"/>
      <c r="I13" s="1197" t="s">
        <v>1015</v>
      </c>
      <c r="J13" s="512"/>
      <c r="K13" s="512"/>
      <c r="L13" s="91" t="str">
        <f>IF('Manuell filtrering og justering'!$I$2='Manuell filtrering og justering'!$J$2,"",M12)</f>
        <v>Residential institution (long term stay)</v>
      </c>
      <c r="M13" s="367" t="s">
        <v>486</v>
      </c>
      <c r="N13" s="12"/>
      <c r="O13" s="91" t="str">
        <f t="shared" si="0"/>
        <v/>
      </c>
      <c r="P13" s="17"/>
      <c r="Q13" s="91" t="str">
        <f>IF(ADBT0=ADBT12,"","New Construction (shell only)")</f>
        <v>New Construction (shell only)</v>
      </c>
      <c r="T13" s="17"/>
      <c r="U13" s="17"/>
      <c r="V13" s="17"/>
      <c r="W13" s="17"/>
      <c r="X13" s="17"/>
      <c r="Y13" s="17" t="s">
        <v>518</v>
      </c>
      <c r="Z13" s="17"/>
      <c r="AA13" s="17"/>
      <c r="AB13" s="17"/>
      <c r="AC13" s="17"/>
      <c r="AD13" s="17"/>
      <c r="AF13" s="1">
        <v>9</v>
      </c>
    </row>
    <row r="14" spans="2:32" s="1" customFormat="1" ht="15.75" x14ac:dyDescent="0.25">
      <c r="B14" s="528" t="s">
        <v>22</v>
      </c>
      <c r="C14" s="611"/>
      <c r="E14" s="1286"/>
      <c r="G14" s="512"/>
      <c r="H14" s="512"/>
      <c r="I14" s="1197"/>
      <c r="J14" s="512"/>
      <c r="K14" s="512"/>
      <c r="L14" s="91" t="str">
        <f>IF('Manuell filtrering og justering'!$I$2='Manuell filtrering og justering'!$J$2,"",M13)</f>
        <v>Residential institution (short term stay)</v>
      </c>
      <c r="M14" s="367" t="s">
        <v>487</v>
      </c>
      <c r="N14" s="12"/>
      <c r="O14" s="512"/>
      <c r="P14" s="17"/>
      <c r="Q14" s="91" t="str">
        <f>IF(ADBT0=ADBT12,"","Major Refurbishment (fully fitted)")</f>
        <v>Major Refurbishment (fully fitted)</v>
      </c>
      <c r="T14" s="17"/>
      <c r="U14" s="17"/>
      <c r="V14" s="17"/>
      <c r="W14" s="17"/>
      <c r="X14" s="17"/>
      <c r="Y14" s="17"/>
      <c r="Z14" s="17"/>
      <c r="AA14" s="17"/>
      <c r="AB14" s="17"/>
      <c r="AC14" s="17"/>
      <c r="AD14" s="17"/>
      <c r="AF14" s="1">
        <v>10</v>
      </c>
    </row>
    <row r="15" spans="2:32" s="1" customFormat="1" ht="16.5" customHeight="1" x14ac:dyDescent="0.25">
      <c r="B15" s="529"/>
      <c r="C15" s="612"/>
      <c r="E15" s="518" t="s">
        <v>1108</v>
      </c>
      <c r="F15" s="523"/>
      <c r="G15" s="512"/>
      <c r="H15" s="512"/>
      <c r="I15" s="1197">
        <f>IF(ADBT0=ADBT16,1,0)</f>
        <v>0</v>
      </c>
      <c r="J15" s="2"/>
      <c r="K15" s="512"/>
      <c r="L15" s="91" t="str">
        <f>IF('Manuell filtrering og justering'!$I$2='Manuell filtrering og justering'!$J$2,"",M14)</f>
        <v>Non-residential institution</v>
      </c>
      <c r="M15" s="367" t="s">
        <v>488</v>
      </c>
      <c r="N15" s="12"/>
      <c r="O15" s="512"/>
      <c r="P15" s="17"/>
      <c r="Q15" s="91" t="str">
        <f>IF(ADBT0=ADBT12,"","Major Refurbishment (shell and core)")</f>
        <v>Major Refurbishment (shell and core)</v>
      </c>
      <c r="U15" s="17"/>
      <c r="V15" s="17"/>
      <c r="W15" s="17"/>
      <c r="X15" s="17"/>
      <c r="Y15" s="17"/>
      <c r="Z15" s="17"/>
      <c r="AA15" s="17"/>
      <c r="AB15" s="17"/>
      <c r="AC15" s="17"/>
      <c r="AD15" s="17"/>
      <c r="AF15" s="1">
        <v>11</v>
      </c>
    </row>
    <row r="16" spans="2:32" s="1" customFormat="1" ht="15.75" x14ac:dyDescent="0.25">
      <c r="B16" s="532"/>
      <c r="C16" s="613"/>
      <c r="E16" s="521" t="s">
        <v>1016</v>
      </c>
      <c r="F16" s="524"/>
      <c r="H16" s="93" t="str">
        <f>IF(ADBT0&lt;&gt;ADBT1,AD_Yes,F16)</f>
        <v>Yes</v>
      </c>
      <c r="I16" s="1197">
        <f>IF(Pol05_credits=0,0,1)</f>
        <v>1</v>
      </c>
      <c r="J16" s="1196" t="s">
        <v>266</v>
      </c>
      <c r="K16" s="512"/>
      <c r="L16" s="91" t="str">
        <f>IF('Manuell filtrering og justering'!$I$2='Manuell filtrering og justering'!$J$2,"",M15)</f>
        <v>Assembly and leisure</v>
      </c>
      <c r="M16" s="367" t="s">
        <v>9</v>
      </c>
      <c r="N16" s="12"/>
      <c r="O16" s="512"/>
      <c r="P16" s="17"/>
      <c r="Q16" s="91" t="str">
        <f>IF(ADBT0=ADBT12,"","Major Refurbishment (shell only)")</f>
        <v>Major Refurbishment (shell only)</v>
      </c>
      <c r="U16" s="17"/>
      <c r="V16" s="17"/>
      <c r="W16" s="17"/>
      <c r="X16" s="17"/>
      <c r="Y16" s="17"/>
      <c r="Z16" s="17"/>
      <c r="AA16" s="17"/>
      <c r="AB16" s="17"/>
      <c r="AC16" s="17"/>
      <c r="AD16" s="17"/>
      <c r="AF16" s="1">
        <v>12</v>
      </c>
    </row>
    <row r="17" spans="2:34" s="1" customFormat="1" ht="15.75" x14ac:dyDescent="0.25">
      <c r="B17" s="533" t="str">
        <f>IF('Manuell filtrering og justering'!I2='Manuell filtrering og justering'!J2,"Building type (main description)","")</f>
        <v/>
      </c>
      <c r="C17" s="614"/>
      <c r="E17" s="522" t="s">
        <v>1043</v>
      </c>
      <c r="F17" s="524"/>
      <c r="H17" s="93"/>
      <c r="I17" s="1197"/>
      <c r="J17" s="1196" t="s">
        <v>267</v>
      </c>
      <c r="K17" s="512"/>
      <c r="L17" s="91" t="str">
        <f>IF('Manuell filtrering og justering'!$I$2='Manuell filtrering og justering'!$J$2,"",M17)</f>
        <v>Other</v>
      </c>
      <c r="M17" s="1" t="s">
        <v>1008</v>
      </c>
      <c r="N17" s="12"/>
      <c r="O17" s="512"/>
      <c r="P17" s="17"/>
      <c r="Q17" s="1295" t="str">
        <f>IF(OR(F7=ADPT01,F7=ADPT03),ADPT01,IF(OR(F7=Q12,F7=Q15),Q12,ADPT02))</f>
        <v>New Construction (fully fitted)</v>
      </c>
      <c r="U17" s="17"/>
      <c r="V17" s="17"/>
      <c r="W17" s="17"/>
      <c r="X17" s="17"/>
      <c r="Y17" s="17"/>
      <c r="Z17" s="17"/>
      <c r="AA17" s="17"/>
      <c r="AB17" s="17"/>
      <c r="AC17" s="17"/>
      <c r="AD17" s="17"/>
      <c r="AF17" s="1">
        <v>13</v>
      </c>
      <c r="AH17" s="93" t="s">
        <v>564</v>
      </c>
    </row>
    <row r="18" spans="2:34" s="1" customFormat="1" ht="15.75" x14ac:dyDescent="0.25">
      <c r="B18" s="521" t="s">
        <v>197</v>
      </c>
      <c r="C18" s="615"/>
      <c r="E18" s="522" t="s">
        <v>1014</v>
      </c>
      <c r="F18" s="523"/>
      <c r="G18" s="1239" t="s">
        <v>334</v>
      </c>
      <c r="I18" s="70">
        <f>IF(Ene03_credits+Pol04_credits=0,0,1)</f>
        <v>1</v>
      </c>
      <c r="J18" s="1196" t="s">
        <v>219</v>
      </c>
      <c r="K18" s="512"/>
      <c r="L18" s="39"/>
      <c r="N18" s="12"/>
      <c r="O18" s="512"/>
      <c r="P18" s="17"/>
      <c r="Q18" s="91" t="s">
        <v>82</v>
      </c>
      <c r="U18" s="17"/>
      <c r="V18" s="17"/>
      <c r="W18" s="17"/>
      <c r="X18" s="17"/>
      <c r="Y18" s="17"/>
      <c r="Z18" s="17"/>
      <c r="AA18" s="17"/>
      <c r="AB18" s="17"/>
      <c r="AC18" s="17"/>
      <c r="AD18" s="17"/>
      <c r="AH18" s="93" t="s">
        <v>565</v>
      </c>
    </row>
    <row r="19" spans="2:34" s="1" customFormat="1" ht="15.75" x14ac:dyDescent="0.25">
      <c r="B19" s="521" t="s">
        <v>198</v>
      </c>
      <c r="C19" s="616"/>
      <c r="E19" s="522" t="s">
        <v>923</v>
      </c>
      <c r="F19" s="530"/>
      <c r="G19" s="93"/>
      <c r="H19" s="17"/>
      <c r="I19" s="342">
        <f>IF(ADBT0='Manuell filtrering og justering'!H2,0,IF(Poeng!Y84+Poeng!Y85=2,0,1))</f>
        <v>1</v>
      </c>
      <c r="J19" s="1196" t="s">
        <v>269</v>
      </c>
      <c r="K19" s="512"/>
      <c r="L19" s="39"/>
      <c r="M19" s="12"/>
      <c r="N19" s="12"/>
      <c r="O19" s="512"/>
      <c r="P19" s="17"/>
      <c r="Q19" s="91" t="s">
        <v>34</v>
      </c>
      <c r="U19" s="17"/>
      <c r="V19" s="17"/>
      <c r="W19" s="17"/>
      <c r="X19" s="17"/>
      <c r="Y19" s="17"/>
      <c r="Z19" s="17"/>
      <c r="AA19" s="17"/>
      <c r="AB19" s="17"/>
      <c r="AC19" s="17"/>
      <c r="AD19" s="17"/>
    </row>
    <row r="20" spans="2:34" s="1" customFormat="1" ht="15.75" x14ac:dyDescent="0.25">
      <c r="B20" s="525" t="s">
        <v>199</v>
      </c>
      <c r="C20" s="616"/>
      <c r="E20" s="522" t="s">
        <v>924</v>
      </c>
      <c r="F20" s="523"/>
      <c r="G20" s="17"/>
      <c r="H20" s="17"/>
      <c r="I20" s="342">
        <v>1</v>
      </c>
      <c r="J20" s="1196" t="s">
        <v>219</v>
      </c>
      <c r="K20" s="512"/>
      <c r="L20" s="39"/>
      <c r="M20" s="12"/>
      <c r="N20" s="12"/>
      <c r="O20" s="512"/>
      <c r="P20" s="17"/>
      <c r="Q20" s="17"/>
      <c r="U20" s="17"/>
      <c r="V20" s="17"/>
      <c r="W20" s="17"/>
      <c r="X20" s="17"/>
      <c r="Y20" s="17"/>
      <c r="Z20" s="17"/>
      <c r="AA20" s="17"/>
      <c r="AB20" s="17"/>
      <c r="AC20" s="17"/>
      <c r="AD20" s="17"/>
    </row>
    <row r="21" spans="2:34" s="1" customFormat="1" ht="15.75" x14ac:dyDescent="0.25">
      <c r="C21" s="617"/>
      <c r="E21" s="522" t="s">
        <v>1027</v>
      </c>
      <c r="F21" s="523"/>
      <c r="G21" s="1239" t="s">
        <v>952</v>
      </c>
      <c r="H21" s="512">
        <f>IF(ADBT0=AE5,1,IF(OR(ADBT0=ADBT13,ADBT0=AD5,ADBT0=ADBT1,ADBT0=ADBT2,AND(ADBT0=ADBT8,OR(F6=U9,F6=U10))),1,0))</f>
        <v>1</v>
      </c>
      <c r="I21" s="1197">
        <f>IF(Poeng!Y91+Poeng!Y92=Poeng!T91+Poeng!T92,0,1)</f>
        <v>1</v>
      </c>
      <c r="J21" s="1196" t="s">
        <v>219</v>
      </c>
      <c r="K21" s="512">
        <f>Poeng!AB91</f>
        <v>1</v>
      </c>
      <c r="L21" s="39"/>
      <c r="M21" s="12"/>
      <c r="N21" s="12"/>
      <c r="P21" s="17"/>
      <c r="Q21" s="17"/>
      <c r="U21" s="17"/>
      <c r="V21" s="17"/>
      <c r="W21" s="17"/>
      <c r="X21" s="17"/>
      <c r="Y21" s="17"/>
      <c r="Z21" s="17"/>
      <c r="AA21" s="17"/>
      <c r="AB21" s="17"/>
      <c r="AC21" s="17"/>
      <c r="AD21" s="17"/>
    </row>
    <row r="22" spans="2:34" s="1" customFormat="1" ht="15" customHeight="1" x14ac:dyDescent="0.3">
      <c r="B22" s="517" t="s">
        <v>26</v>
      </c>
      <c r="C22" s="618"/>
      <c r="E22" s="536" t="s">
        <v>1006</v>
      </c>
      <c r="F22" s="523"/>
      <c r="I22" s="70">
        <f>IF(Poeng!Y94=Poeng!T94,0,1)</f>
        <v>1</v>
      </c>
      <c r="J22" s="1196" t="s">
        <v>219</v>
      </c>
      <c r="K22" s="512">
        <f>Poeng!AB92</f>
        <v>4</v>
      </c>
      <c r="L22" s="39"/>
      <c r="M22" s="12"/>
      <c r="N22" s="12" t="s">
        <v>278</v>
      </c>
      <c r="O22" s="17"/>
      <c r="P22" s="17"/>
      <c r="Q22" s="91" t="s">
        <v>12</v>
      </c>
      <c r="R22" s="1" t="s">
        <v>1134</v>
      </c>
      <c r="U22" s="17"/>
      <c r="V22" s="17"/>
      <c r="W22" s="17"/>
      <c r="X22" s="17"/>
      <c r="Y22" s="17"/>
      <c r="Z22" s="17"/>
      <c r="AA22" s="17"/>
      <c r="AB22" s="17"/>
      <c r="AC22" s="17"/>
      <c r="AD22" s="17"/>
    </row>
    <row r="23" spans="2:34" s="1" customFormat="1" ht="15" customHeight="1" x14ac:dyDescent="0.25">
      <c r="B23" s="534" t="s">
        <v>27</v>
      </c>
      <c r="C23" s="608"/>
      <c r="E23" s="1124" t="s">
        <v>997</v>
      </c>
      <c r="F23" s="523"/>
      <c r="G23" s="93"/>
      <c r="H23" s="512"/>
      <c r="I23" s="1197">
        <f>IF(ADBT0='Manuell filtrering og justering'!H2,0,1)</f>
        <v>1</v>
      </c>
      <c r="J23" s="1196" t="s">
        <v>219</v>
      </c>
      <c r="M23" s="12"/>
      <c r="N23" s="12"/>
      <c r="O23" s="17"/>
      <c r="P23" s="17"/>
      <c r="Q23" s="91" t="s">
        <v>13</v>
      </c>
      <c r="R23" s="1" t="s">
        <v>1135</v>
      </c>
      <c r="T23" s="17"/>
      <c r="U23" s="17"/>
      <c r="V23" s="17"/>
      <c r="W23" s="17"/>
      <c r="X23" s="17"/>
      <c r="Y23" s="17"/>
      <c r="Z23" s="17"/>
      <c r="AA23" s="17"/>
      <c r="AB23" s="17"/>
      <c r="AC23" s="17"/>
      <c r="AD23" s="17"/>
    </row>
    <row r="24" spans="2:34" s="1" customFormat="1" ht="15" customHeight="1" x14ac:dyDescent="0.25">
      <c r="B24" s="535" t="s">
        <v>28</v>
      </c>
      <c r="C24" s="608"/>
      <c r="E24" s="536" t="s">
        <v>919</v>
      </c>
      <c r="F24" s="523"/>
      <c r="G24" s="1239" t="s">
        <v>334</v>
      </c>
      <c r="H24" s="93"/>
      <c r="I24" s="1197">
        <f>IF(Pol01_credits=0,0,1)</f>
        <v>1</v>
      </c>
      <c r="J24" s="1196" t="s">
        <v>219</v>
      </c>
      <c r="K24" s="512"/>
      <c r="L24" s="39"/>
      <c r="M24" s="12"/>
      <c r="N24" s="12"/>
      <c r="O24" s="537" t="s">
        <v>272</v>
      </c>
      <c r="P24" s="17"/>
      <c r="Q24" s="91" t="s">
        <v>45</v>
      </c>
      <c r="T24" s="17"/>
      <c r="U24" s="17"/>
      <c r="V24" s="17"/>
      <c r="W24" s="17"/>
      <c r="X24" s="17"/>
      <c r="Y24" s="17"/>
      <c r="Z24" s="17"/>
      <c r="AA24" s="17"/>
      <c r="AB24" s="17"/>
      <c r="AC24" s="17"/>
      <c r="AD24" s="17"/>
    </row>
    <row r="25" spans="2:34" s="1" customFormat="1" ht="15" customHeight="1" x14ac:dyDescent="0.25">
      <c r="B25" s="535" t="s">
        <v>264</v>
      </c>
      <c r="C25" s="608"/>
      <c r="E25" s="536" t="s">
        <v>1028</v>
      </c>
      <c r="F25" s="523"/>
      <c r="G25" s="1239" t="s">
        <v>334</v>
      </c>
      <c r="H25" s="93"/>
      <c r="I25" s="1197">
        <f>IF(Poeng!Y205+Poeng!Y206=Poeng!T205+Poeng!T206,0,1)</f>
        <v>1</v>
      </c>
      <c r="J25" s="1196" t="s">
        <v>219</v>
      </c>
      <c r="K25" s="512"/>
      <c r="L25" s="39"/>
      <c r="M25" s="12"/>
      <c r="N25" s="12"/>
      <c r="O25" s="537" t="s">
        <v>270</v>
      </c>
      <c r="P25" s="17"/>
      <c r="Q25" s="17"/>
      <c r="T25" s="17"/>
      <c r="U25" s="17"/>
      <c r="V25" s="17"/>
      <c r="W25" s="17"/>
      <c r="X25" s="17"/>
      <c r="Y25" s="17"/>
      <c r="Z25" s="17"/>
      <c r="AA25" s="17"/>
      <c r="AB25" s="17"/>
      <c r="AC25" s="17"/>
      <c r="AD25" s="17"/>
    </row>
    <row r="26" spans="2:34" s="1" customFormat="1" ht="15.75" x14ac:dyDescent="0.25">
      <c r="B26" s="535" t="s">
        <v>29</v>
      </c>
      <c r="C26" s="608"/>
      <c r="E26" s="521" t="s">
        <v>995</v>
      </c>
      <c r="F26" s="523"/>
      <c r="G26" s="93"/>
      <c r="H26" s="512"/>
      <c r="I26" s="1197">
        <f>IF(ADBT0='Manuell filtrering og justering'!H2,0,IF(Mat06_credits=0,0,1))</f>
        <v>1</v>
      </c>
      <c r="J26" s="1196" t="s">
        <v>277</v>
      </c>
      <c r="K26" s="512"/>
      <c r="L26" s="39"/>
      <c r="M26" s="12"/>
      <c r="N26" s="12"/>
      <c r="O26" s="537" t="s">
        <v>273</v>
      </c>
      <c r="P26" s="17"/>
      <c r="Q26" s="91" t="s">
        <v>290</v>
      </c>
      <c r="T26" s="17"/>
      <c r="U26" s="17"/>
      <c r="V26" s="17"/>
      <c r="W26" s="17"/>
      <c r="X26" s="17"/>
      <c r="Y26" s="17"/>
      <c r="Z26" s="17"/>
      <c r="AA26" s="17"/>
      <c r="AB26" s="17"/>
      <c r="AC26" s="17"/>
      <c r="AD26" s="17"/>
    </row>
    <row r="27" spans="2:34" s="1" customFormat="1" ht="15.75" x14ac:dyDescent="0.25">
      <c r="B27" s="535" t="s">
        <v>319</v>
      </c>
      <c r="C27" s="608"/>
      <c r="E27" s="1200" t="s">
        <v>922</v>
      </c>
      <c r="F27" s="523"/>
      <c r="G27" s="1239" t="s">
        <v>334</v>
      </c>
      <c r="H27" s="512"/>
      <c r="I27" s="1198">
        <f>IF(Pol05_credits=0,0,1)</f>
        <v>1</v>
      </c>
      <c r="J27" s="1196" t="s">
        <v>219</v>
      </c>
      <c r="K27" s="512"/>
      <c r="L27" s="39"/>
      <c r="M27" s="12"/>
      <c r="N27" s="12"/>
      <c r="O27" s="537" t="s">
        <v>274</v>
      </c>
      <c r="P27" s="17"/>
      <c r="Q27" s="91" t="s">
        <v>291</v>
      </c>
      <c r="S27" s="17"/>
      <c r="T27" s="17"/>
      <c r="U27" s="17"/>
      <c r="V27" s="17"/>
      <c r="W27" s="17"/>
      <c r="X27" s="17"/>
      <c r="Y27" s="17"/>
      <c r="Z27" s="17"/>
      <c r="AA27" s="17"/>
      <c r="AB27" s="17"/>
      <c r="AC27" s="17"/>
      <c r="AD27" s="17"/>
    </row>
    <row r="28" spans="2:34" s="1" customFormat="1" ht="15.75" x14ac:dyDescent="0.25">
      <c r="B28" s="535" t="s">
        <v>318</v>
      </c>
      <c r="C28" s="608"/>
      <c r="E28" s="1199" t="s">
        <v>1042</v>
      </c>
      <c r="F28" s="523"/>
      <c r="G28" s="512"/>
      <c r="H28" s="512"/>
      <c r="I28" s="1197">
        <f>IF(Inn05_credits=0,0,IF(OR(F6=U6,F6=U7,F6=V8,F5=Y5,F5=X5,F5=Z5),1,0))</f>
        <v>0</v>
      </c>
      <c r="J28" s="1196" t="s">
        <v>219</v>
      </c>
      <c r="K28" s="512"/>
      <c r="L28" s="41"/>
      <c r="M28" s="12"/>
      <c r="N28" s="12"/>
      <c r="O28" s="537" t="s">
        <v>275</v>
      </c>
      <c r="P28" s="17"/>
      <c r="Q28" s="91" t="s">
        <v>292</v>
      </c>
      <c r="T28" s="17"/>
      <c r="U28" s="17"/>
      <c r="V28" s="17"/>
      <c r="W28" s="17"/>
      <c r="X28" s="17"/>
      <c r="Y28" s="17"/>
      <c r="Z28" s="17"/>
      <c r="AA28" s="17"/>
      <c r="AB28" s="17"/>
      <c r="AC28" s="17"/>
      <c r="AD28" s="17"/>
    </row>
    <row r="29" spans="2:34" s="1" customFormat="1" ht="15.75" x14ac:dyDescent="0.25">
      <c r="B29" s="535" t="s">
        <v>317</v>
      </c>
      <c r="C29" s="608"/>
      <c r="E29" s="1015"/>
      <c r="F29" s="531"/>
      <c r="G29" s="512"/>
      <c r="H29" s="512"/>
      <c r="I29" s="1197"/>
      <c r="M29" s="12"/>
      <c r="N29" s="12"/>
      <c r="O29" s="537" t="s">
        <v>271</v>
      </c>
      <c r="P29" s="17"/>
      <c r="Q29" s="91" t="s">
        <v>36</v>
      </c>
      <c r="T29" s="17"/>
      <c r="U29" s="17"/>
      <c r="V29" s="17"/>
      <c r="W29" s="17"/>
      <c r="X29" s="17"/>
      <c r="Y29" s="17"/>
      <c r="Z29" s="17"/>
      <c r="AA29" s="17"/>
      <c r="AB29" s="17"/>
      <c r="AC29" s="17"/>
      <c r="AD29" s="17"/>
    </row>
    <row r="30" spans="2:34" s="1" customFormat="1" ht="15.75" x14ac:dyDescent="0.25">
      <c r="B30" s="535" t="s">
        <v>315</v>
      </c>
      <c r="C30" s="608"/>
      <c r="E30" s="538" t="s">
        <v>286</v>
      </c>
      <c r="F30" s="539">
        <f>Poeng_tot</f>
        <v>153</v>
      </c>
      <c r="G30" s="512"/>
      <c r="H30" s="512"/>
      <c r="I30" s="512"/>
      <c r="J30" s="537" t="s">
        <v>920</v>
      </c>
      <c r="K30" s="2"/>
      <c r="L30" s="41"/>
      <c r="M30" s="12"/>
      <c r="N30" s="12"/>
      <c r="O30" s="537" t="s">
        <v>276</v>
      </c>
      <c r="P30" s="17"/>
      <c r="Q30" s="512"/>
      <c r="T30" s="17"/>
      <c r="U30" s="17"/>
      <c r="V30" s="17"/>
      <c r="W30" s="17"/>
      <c r="X30" s="17"/>
      <c r="Y30" s="17"/>
      <c r="Z30" s="17"/>
      <c r="AA30" s="17"/>
      <c r="AB30" s="17"/>
      <c r="AC30" s="17"/>
      <c r="AD30" s="17"/>
    </row>
    <row r="31" spans="2:34" s="1" customFormat="1" ht="15.75" x14ac:dyDescent="0.25">
      <c r="B31" s="535" t="s">
        <v>316</v>
      </c>
      <c r="C31" s="608"/>
      <c r="E31" s="522" t="s">
        <v>287</v>
      </c>
      <c r="F31" s="539">
        <f>Poeng_bort</f>
        <v>0</v>
      </c>
      <c r="G31" s="512"/>
      <c r="H31" s="512"/>
      <c r="I31" s="512"/>
      <c r="J31" s="537" t="s">
        <v>921</v>
      </c>
      <c r="K31" s="2"/>
      <c r="L31" s="41"/>
      <c r="M31" s="12"/>
      <c r="N31" s="12"/>
      <c r="O31" s="17"/>
      <c r="P31" s="17"/>
      <c r="Q31" s="91" t="s">
        <v>39</v>
      </c>
      <c r="S31" s="17"/>
      <c r="T31" s="17"/>
      <c r="U31" s="17"/>
      <c r="V31" s="17"/>
      <c r="W31" s="17"/>
      <c r="X31" s="17"/>
      <c r="Y31" s="17"/>
      <c r="Z31" s="17"/>
      <c r="AA31" s="17"/>
      <c r="AB31" s="17"/>
      <c r="AC31" s="17"/>
      <c r="AD31" s="17"/>
    </row>
    <row r="32" spans="2:34" s="1" customFormat="1" ht="15.75" x14ac:dyDescent="0.25">
      <c r="B32" s="540" t="s">
        <v>330</v>
      </c>
      <c r="C32" s="608"/>
      <c r="E32" s="541" t="s">
        <v>63</v>
      </c>
      <c r="F32" s="539">
        <f>Poeng_tilgj</f>
        <v>153</v>
      </c>
      <c r="G32" s="512"/>
      <c r="H32" s="512"/>
      <c r="I32" s="512"/>
      <c r="J32" s="2"/>
      <c r="K32" s="2"/>
      <c r="L32" s="41"/>
      <c r="M32" s="13"/>
      <c r="N32" s="13"/>
      <c r="O32" s="17"/>
      <c r="P32" s="17"/>
      <c r="Q32" s="91" t="s">
        <v>37</v>
      </c>
      <c r="R32" s="17"/>
      <c r="S32" s="17"/>
      <c r="T32" s="17"/>
      <c r="U32" s="17"/>
      <c r="V32" s="17"/>
      <c r="W32" s="17"/>
      <c r="X32" s="17"/>
      <c r="Y32" s="17"/>
      <c r="Z32" s="17"/>
      <c r="AA32" s="17"/>
      <c r="AB32" s="17"/>
      <c r="AC32" s="17"/>
      <c r="AD32" s="17"/>
    </row>
    <row r="33" spans="2:30" s="1" customFormat="1" ht="15.75" x14ac:dyDescent="0.25">
      <c r="G33" s="512"/>
      <c r="H33" s="512"/>
      <c r="I33" s="512"/>
      <c r="J33" s="9"/>
      <c r="K33" s="9"/>
      <c r="L33" s="39"/>
      <c r="M33" s="13"/>
      <c r="N33" s="13"/>
      <c r="O33" s="93" t="s">
        <v>1025</v>
      </c>
      <c r="P33" s="17"/>
      <c r="Q33" s="91" t="s">
        <v>38</v>
      </c>
      <c r="R33" s="17"/>
      <c r="S33" s="17"/>
      <c r="T33" s="17"/>
      <c r="U33" s="17"/>
      <c r="V33" s="17"/>
      <c r="W33" s="17"/>
      <c r="X33" s="17"/>
      <c r="Y33" s="17"/>
      <c r="Z33" s="17"/>
      <c r="AA33" s="17"/>
      <c r="AB33" s="17"/>
      <c r="AC33" s="17"/>
      <c r="AD33" s="17"/>
    </row>
    <row r="34" spans="2:30" s="1" customFormat="1" ht="18.75" x14ac:dyDescent="0.3">
      <c r="B34" s="542" t="s">
        <v>398</v>
      </c>
      <c r="E34" s="542" t="s">
        <v>397</v>
      </c>
      <c r="G34" s="512"/>
      <c r="H34" s="512"/>
      <c r="I34" s="512"/>
      <c r="J34" s="9"/>
      <c r="K34" s="9"/>
      <c r="L34" s="39"/>
      <c r="M34" s="13"/>
      <c r="N34" s="13"/>
      <c r="O34" s="93" t="s">
        <v>279</v>
      </c>
      <c r="P34" s="17"/>
      <c r="Q34" s="94"/>
      <c r="R34" s="17"/>
      <c r="S34" s="17"/>
      <c r="T34" s="17"/>
      <c r="U34" s="17"/>
      <c r="V34" s="17"/>
      <c r="W34" s="17"/>
      <c r="X34" s="17"/>
      <c r="Y34" s="17"/>
      <c r="Z34" s="17"/>
      <c r="AA34" s="17"/>
      <c r="AB34" s="17"/>
      <c r="AC34" s="17"/>
      <c r="AD34" s="17"/>
    </row>
    <row r="35" spans="2:30" s="1" customFormat="1" ht="80.25" customHeight="1" x14ac:dyDescent="0.25">
      <c r="B35" s="1306"/>
      <c r="C35" s="1307"/>
      <c r="E35" s="1306"/>
      <c r="F35" s="1307"/>
      <c r="G35" s="512"/>
      <c r="H35" s="512"/>
      <c r="I35" s="512"/>
      <c r="J35" s="89"/>
      <c r="K35" s="89"/>
      <c r="L35" s="12"/>
      <c r="M35" s="12"/>
      <c r="N35" s="12"/>
      <c r="O35" s="17"/>
      <c r="P35" s="16"/>
      <c r="Q35" s="512"/>
      <c r="R35" s="16"/>
      <c r="S35" s="16"/>
      <c r="T35" s="16"/>
      <c r="U35" s="17"/>
      <c r="V35" s="17"/>
      <c r="W35" s="17"/>
      <c r="X35" s="17"/>
      <c r="Y35" s="17"/>
      <c r="Z35" s="17"/>
      <c r="AA35" s="17"/>
      <c r="AB35" s="17"/>
      <c r="AC35" s="17"/>
      <c r="AD35" s="17"/>
    </row>
    <row r="36" spans="2:30" s="1" customFormat="1" ht="15.75" x14ac:dyDescent="0.25">
      <c r="E36" s="89"/>
      <c r="F36" s="89"/>
      <c r="G36" s="512"/>
      <c r="H36" s="512"/>
      <c r="I36" s="512"/>
      <c r="J36" s="89"/>
      <c r="K36" s="89"/>
      <c r="L36" s="12"/>
      <c r="M36" s="12"/>
      <c r="N36" s="12"/>
      <c r="O36" s="17"/>
      <c r="P36" s="16"/>
      <c r="Q36" s="512"/>
      <c r="R36" s="16"/>
      <c r="S36" s="16"/>
      <c r="T36" s="16"/>
      <c r="U36" s="17"/>
      <c r="V36" s="17"/>
      <c r="W36" s="17"/>
      <c r="X36" s="17"/>
      <c r="Y36" s="17"/>
      <c r="Z36" s="17"/>
      <c r="AA36" s="17"/>
      <c r="AB36" s="17"/>
      <c r="AC36" s="17"/>
      <c r="AD36" s="17"/>
    </row>
    <row r="37" spans="2:30" s="1" customFormat="1" ht="15.75" x14ac:dyDescent="0.25">
      <c r="B37" s="512" t="s">
        <v>966</v>
      </c>
      <c r="E37" s="89"/>
      <c r="F37" s="89"/>
      <c r="G37" s="512"/>
      <c r="H37" s="512"/>
      <c r="I37" s="512"/>
      <c r="J37" s="89"/>
      <c r="K37" s="89"/>
      <c r="L37" s="12"/>
      <c r="M37" s="12"/>
      <c r="N37" s="12"/>
      <c r="O37" s="17"/>
      <c r="P37" s="16"/>
      <c r="Q37" s="1043"/>
      <c r="R37" s="16"/>
      <c r="S37" s="16"/>
      <c r="T37" s="16"/>
      <c r="U37" s="17"/>
      <c r="V37" s="17"/>
      <c r="W37" s="17"/>
      <c r="X37" s="17"/>
      <c r="Y37" s="17"/>
      <c r="Z37" s="17"/>
      <c r="AA37" s="17"/>
      <c r="AB37" s="17"/>
      <c r="AC37" s="17"/>
      <c r="AD37" s="17"/>
    </row>
    <row r="38" spans="2:30" s="1" customFormat="1" ht="15.75" x14ac:dyDescent="0.25">
      <c r="E38" s="89"/>
      <c r="F38" s="89"/>
      <c r="G38" s="512"/>
      <c r="H38" s="512"/>
      <c r="I38" s="512"/>
      <c r="J38" s="89"/>
      <c r="K38" s="89"/>
      <c r="L38" s="12"/>
      <c r="M38" s="12"/>
      <c r="N38" s="12"/>
      <c r="O38" s="17"/>
      <c r="P38" s="16"/>
      <c r="Q38" s="1043"/>
      <c r="R38" s="16"/>
      <c r="S38" s="16"/>
      <c r="T38" s="16"/>
      <c r="U38" s="17"/>
      <c r="V38" s="17"/>
      <c r="W38" s="17"/>
      <c r="X38" s="17"/>
      <c r="Y38" s="17"/>
      <c r="Z38" s="17"/>
      <c r="AA38" s="17"/>
      <c r="AB38" s="17"/>
      <c r="AC38" s="17"/>
      <c r="AD38" s="17"/>
    </row>
    <row r="39" spans="2:30" s="1" customFormat="1" ht="18.75" x14ac:dyDescent="0.3">
      <c r="B39" s="517" t="s">
        <v>47</v>
      </c>
      <c r="C39" s="7"/>
      <c r="D39" s="7"/>
      <c r="E39" s="543"/>
      <c r="F39" s="544"/>
      <c r="G39" s="512"/>
      <c r="H39" s="512"/>
      <c r="I39" s="512"/>
      <c r="L39" s="12"/>
      <c r="M39" s="12"/>
      <c r="N39" s="12"/>
      <c r="O39" s="17"/>
      <c r="P39" s="16"/>
      <c r="Q39" s="1043"/>
      <c r="R39" s="16"/>
      <c r="S39" s="16"/>
      <c r="T39" s="16"/>
      <c r="U39" s="17"/>
      <c r="V39" s="17"/>
      <c r="W39" s="17"/>
      <c r="X39" s="17"/>
      <c r="Y39" s="17"/>
      <c r="Z39" s="17"/>
      <c r="AA39" s="17"/>
      <c r="AB39" s="17"/>
      <c r="AC39" s="17"/>
      <c r="AD39" s="17"/>
    </row>
    <row r="40" spans="2:30" s="1" customFormat="1" ht="64.5" customHeight="1" x14ac:dyDescent="0.25">
      <c r="B40" s="1305" t="str">
        <f>"I, "&amp;AD_assessor&amp;O33</f>
        <v>I, ,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(SD5076NOR). Furthermore, I confirm that this assessment and the information on which it is based has been checked and verified in accordance with NGBC/BRE Group Ltd's UKAS accredited BREEAM-NOR operating procedures for BREEAM-NOR assessments and assessors, as described in the  technical scheme document (SD5076NOR) and associated BREEAM-NOR operational documents.</v>
      </c>
      <c r="C40" s="1305"/>
      <c r="D40" s="1305"/>
      <c r="E40" s="1305"/>
      <c r="F40" s="1305"/>
      <c r="G40" s="512"/>
      <c r="H40" s="512"/>
      <c r="I40" s="512"/>
      <c r="L40" s="14"/>
      <c r="M40" s="14"/>
      <c r="N40" s="12"/>
      <c r="O40" s="1" t="s">
        <v>268</v>
      </c>
      <c r="P40" s="2"/>
      <c r="R40" s="16"/>
      <c r="S40" s="16"/>
      <c r="T40" s="16"/>
      <c r="U40" s="17"/>
      <c r="V40" s="17"/>
      <c r="W40" s="17"/>
      <c r="X40" s="17"/>
      <c r="Y40" s="17"/>
      <c r="Z40" s="17"/>
      <c r="AA40" s="17"/>
      <c r="AB40" s="17"/>
      <c r="AC40" s="17"/>
      <c r="AD40" s="17"/>
    </row>
    <row r="41" spans="2:30" s="1" customFormat="1" ht="32.25" customHeight="1" x14ac:dyDescent="0.25">
      <c r="B41" s="545"/>
      <c r="C41" s="545"/>
      <c r="D41" s="545"/>
      <c r="E41" s="545"/>
      <c r="F41" s="545"/>
      <c r="G41" s="512"/>
      <c r="H41" s="512"/>
      <c r="I41" s="512"/>
      <c r="L41" s="14"/>
      <c r="M41" s="14"/>
      <c r="N41" s="12"/>
      <c r="P41" s="2"/>
      <c r="R41" s="16"/>
      <c r="S41" s="16"/>
      <c r="T41" s="16"/>
      <c r="U41" s="17"/>
      <c r="V41" s="17"/>
      <c r="W41" s="17"/>
      <c r="X41" s="17"/>
      <c r="Y41" s="17"/>
      <c r="Z41" s="17"/>
      <c r="AA41" s="17"/>
      <c r="AB41" s="17"/>
      <c r="AC41" s="17"/>
      <c r="AD41" s="17"/>
    </row>
    <row r="42" spans="2:30" s="1" customFormat="1" ht="15.75" x14ac:dyDescent="0.25">
      <c r="B42" s="546" t="s">
        <v>311</v>
      </c>
      <c r="C42" s="619"/>
      <c r="D42" s="547"/>
      <c r="E42" s="548"/>
      <c r="F42" s="549"/>
      <c r="G42" s="512"/>
      <c r="H42" s="512"/>
      <c r="I42" s="512"/>
      <c r="J42" s="12"/>
      <c r="K42" s="12"/>
      <c r="L42" s="12"/>
      <c r="M42" s="12"/>
      <c r="N42" s="12"/>
      <c r="O42" s="90" t="s">
        <v>252</v>
      </c>
      <c r="P42" s="47" t="s">
        <v>10</v>
      </c>
      <c r="Q42" s="539"/>
      <c r="R42" s="16"/>
      <c r="S42" s="16"/>
      <c r="T42" s="16"/>
      <c r="U42" s="17"/>
      <c r="V42" s="17"/>
      <c r="W42" s="17"/>
      <c r="X42" s="17"/>
      <c r="Y42" s="17"/>
      <c r="Z42" s="17"/>
      <c r="AA42" s="17"/>
      <c r="AB42" s="17"/>
      <c r="AC42" s="17"/>
      <c r="AD42" s="17"/>
    </row>
    <row r="43" spans="2:30" s="1" customFormat="1" ht="15.75" x14ac:dyDescent="0.25">
      <c r="B43" s="550" t="s">
        <v>8</v>
      </c>
      <c r="C43" s="619"/>
      <c r="D43" s="547"/>
      <c r="E43" s="548"/>
      <c r="F43" s="549"/>
      <c r="G43" s="512"/>
      <c r="H43" s="512"/>
      <c r="I43" s="512"/>
      <c r="J43" s="12"/>
      <c r="K43" s="12"/>
      <c r="L43" s="12"/>
      <c r="M43" s="12"/>
      <c r="N43" s="12"/>
      <c r="O43" s="47" t="s">
        <v>288</v>
      </c>
      <c r="P43" s="539"/>
      <c r="Q43" s="512"/>
      <c r="R43" s="40" t="s">
        <v>263</v>
      </c>
      <c r="S43" s="16"/>
      <c r="T43" s="16"/>
      <c r="U43" s="17"/>
      <c r="V43" s="17"/>
      <c r="W43" s="17"/>
      <c r="X43" s="17"/>
      <c r="Y43" s="17"/>
      <c r="Z43" s="17"/>
      <c r="AA43" s="17"/>
      <c r="AB43" s="17"/>
      <c r="AC43" s="17"/>
      <c r="AD43" s="17"/>
    </row>
    <row r="44" spans="2:30" s="1" customFormat="1" ht="16.5" thickBot="1" x14ac:dyDescent="0.3">
      <c r="B44" s="2"/>
      <c r="C44" s="547"/>
      <c r="D44" s="547"/>
      <c r="E44" s="551"/>
      <c r="F44" s="551"/>
      <c r="G44" s="512"/>
      <c r="H44" s="512"/>
      <c r="I44" s="512"/>
      <c r="J44" s="28"/>
      <c r="K44" s="28"/>
      <c r="L44" s="28"/>
      <c r="M44" s="28"/>
      <c r="N44" s="28"/>
      <c r="P44" s="17"/>
      <c r="Q44" s="17"/>
      <c r="R44" s="17"/>
      <c r="S44" s="17"/>
      <c r="T44" s="17"/>
      <c r="U44" s="17"/>
      <c r="V44" s="17"/>
      <c r="W44" s="17"/>
      <c r="X44" s="17"/>
      <c r="Y44" s="17"/>
      <c r="Z44" s="17"/>
      <c r="AA44" s="17"/>
      <c r="AB44" s="17"/>
      <c r="AC44" s="17"/>
      <c r="AD44" s="17"/>
    </row>
    <row r="45" spans="2:30" s="1" customFormat="1" ht="28.5" customHeight="1" x14ac:dyDescent="0.3">
      <c r="B45" s="517" t="s">
        <v>200</v>
      </c>
      <c r="C45" s="7"/>
      <c r="D45" s="7"/>
      <c r="E45" s="552"/>
      <c r="F45" s="552"/>
      <c r="G45" s="512"/>
      <c r="H45" s="512"/>
      <c r="I45" s="512"/>
      <c r="J45" s="28"/>
      <c r="K45" s="28"/>
      <c r="L45" s="28"/>
      <c r="M45" s="28"/>
      <c r="N45" s="266"/>
      <c r="O45" s="553" t="s">
        <v>293</v>
      </c>
      <c r="P45" s="73">
        <v>1</v>
      </c>
      <c r="Q45" s="17"/>
      <c r="R45" s="16"/>
      <c r="S45" s="16"/>
      <c r="T45" s="16"/>
      <c r="U45" s="17"/>
      <c r="V45" s="17"/>
      <c r="W45" s="17"/>
      <c r="X45" s="17"/>
      <c r="Y45" s="17"/>
      <c r="Z45" s="17"/>
      <c r="AA45" s="17"/>
      <c r="AB45" s="17"/>
      <c r="AC45" s="17"/>
      <c r="AD45" s="17"/>
    </row>
    <row r="46" spans="2:30" s="1" customFormat="1" ht="73.5" customHeight="1" x14ac:dyDescent="0.25">
      <c r="B46" s="1303" t="s">
        <v>1026</v>
      </c>
      <c r="C46" s="1303"/>
      <c r="D46" s="1303"/>
      <c r="E46" s="1303"/>
      <c r="F46" s="1303"/>
      <c r="G46" s="512"/>
      <c r="H46" s="512"/>
      <c r="I46" s="512"/>
      <c r="J46" s="28"/>
      <c r="K46" s="28"/>
      <c r="L46" s="28"/>
      <c r="M46" s="28"/>
      <c r="N46" s="265"/>
      <c r="O46" s="554" t="s">
        <v>294</v>
      </c>
      <c r="P46" s="74">
        <v>2</v>
      </c>
      <c r="Q46" s="17"/>
      <c r="R46" s="16"/>
      <c r="S46" s="16"/>
      <c r="T46" s="16"/>
      <c r="U46" s="17"/>
      <c r="V46" s="17"/>
      <c r="W46" s="17"/>
      <c r="X46" s="17"/>
      <c r="Y46" s="17"/>
      <c r="Z46" s="17"/>
      <c r="AA46" s="17"/>
      <c r="AB46" s="17"/>
      <c r="AC46" s="17"/>
      <c r="AD46" s="17"/>
    </row>
    <row r="47" spans="2:30" s="1" customFormat="1" ht="15.75" x14ac:dyDescent="0.25">
      <c r="D47" s="555"/>
      <c r="E47" s="28"/>
      <c r="F47" s="28"/>
      <c r="G47" s="512"/>
      <c r="H47" s="512"/>
      <c r="I47" s="512"/>
      <c r="J47" s="28"/>
      <c r="K47" s="28"/>
      <c r="L47" s="28"/>
      <c r="M47" s="28"/>
      <c r="N47" s="264"/>
      <c r="O47" s="556" t="s">
        <v>295</v>
      </c>
      <c r="P47" s="74">
        <v>3</v>
      </c>
      <c r="Q47" s="512"/>
      <c r="R47" s="17"/>
      <c r="S47" s="17"/>
      <c r="T47" s="17"/>
      <c r="U47" s="17"/>
      <c r="V47" s="17"/>
      <c r="W47" s="17"/>
      <c r="X47" s="17"/>
      <c r="Y47" s="17"/>
      <c r="Z47" s="17"/>
      <c r="AA47" s="17"/>
      <c r="AB47" s="17"/>
      <c r="AC47" s="17"/>
      <c r="AD47" s="17"/>
    </row>
    <row r="48" spans="2:30" s="1" customFormat="1" ht="19.5" thickBot="1" x14ac:dyDescent="0.35">
      <c r="B48" s="517" t="s">
        <v>7</v>
      </c>
      <c r="C48" s="7"/>
      <c r="D48" s="7"/>
      <c r="E48" s="552"/>
      <c r="F48" s="557"/>
      <c r="G48" s="512"/>
      <c r="H48" s="512"/>
      <c r="I48" s="512"/>
      <c r="J48" s="12"/>
      <c r="K48" s="12"/>
      <c r="L48" s="12"/>
      <c r="M48" s="12"/>
      <c r="N48" s="12"/>
      <c r="O48" s="75" t="s">
        <v>0</v>
      </c>
      <c r="P48" s="76">
        <v>4</v>
      </c>
      <c r="Q48" s="17"/>
      <c r="R48" s="17"/>
      <c r="S48" s="17"/>
      <c r="T48" s="17"/>
      <c r="U48" s="17"/>
      <c r="V48" s="17"/>
      <c r="W48" s="17"/>
      <c r="X48" s="17"/>
      <c r="Y48" s="17"/>
      <c r="Z48" s="17"/>
      <c r="AA48" s="17"/>
      <c r="AB48" s="17"/>
      <c r="AC48" s="17"/>
      <c r="AD48" s="17"/>
    </row>
    <row r="49" spans="2:30" s="1" customFormat="1" ht="15.75" x14ac:dyDescent="0.25">
      <c r="B49" s="1304" t="s">
        <v>310</v>
      </c>
      <c r="C49" s="1304"/>
      <c r="D49" s="1304"/>
      <c r="E49" s="1304"/>
      <c r="F49" s="1304"/>
      <c r="G49" s="512"/>
      <c r="H49" s="512"/>
      <c r="I49" s="512"/>
      <c r="J49" s="12"/>
      <c r="K49" s="12"/>
      <c r="L49" s="12"/>
      <c r="M49" s="12"/>
      <c r="N49" s="12"/>
      <c r="Q49" s="17"/>
      <c r="R49" s="17"/>
      <c r="S49" s="17"/>
      <c r="T49" s="17"/>
      <c r="U49" s="17"/>
      <c r="V49" s="17"/>
      <c r="W49" s="17"/>
      <c r="X49" s="17"/>
      <c r="Y49" s="17"/>
      <c r="Z49" s="17"/>
      <c r="AA49" s="17"/>
      <c r="AB49" s="17"/>
      <c r="AC49" s="17"/>
      <c r="AD49" s="17"/>
    </row>
    <row r="50" spans="2:30" s="1" customFormat="1" ht="15.75" x14ac:dyDescent="0.25">
      <c r="B50" s="2"/>
      <c r="C50" s="2"/>
      <c r="D50" s="2"/>
      <c r="E50" s="558"/>
      <c r="F50" s="559"/>
      <c r="G50" s="512"/>
      <c r="H50" s="512"/>
      <c r="I50" s="512"/>
      <c r="J50" s="12"/>
      <c r="K50" s="12"/>
      <c r="L50" s="12"/>
      <c r="M50" s="12"/>
      <c r="N50" s="12"/>
      <c r="O50" s="79" t="s">
        <v>49</v>
      </c>
      <c r="Q50" s="730" t="s">
        <v>139</v>
      </c>
      <c r="R50" s="730" t="s">
        <v>117</v>
      </c>
      <c r="S50" s="730" t="s">
        <v>93</v>
      </c>
      <c r="T50" s="730" t="s">
        <v>548</v>
      </c>
      <c r="U50" s="730" t="s">
        <v>549</v>
      </c>
      <c r="V50" s="730" t="s">
        <v>4</v>
      </c>
      <c r="W50" s="730" t="s">
        <v>550</v>
      </c>
      <c r="X50" s="730" t="s">
        <v>551</v>
      </c>
      <c r="Y50" s="730" t="s">
        <v>552</v>
      </c>
      <c r="Z50" s="17"/>
      <c r="AA50" s="17"/>
      <c r="AB50" s="17"/>
      <c r="AC50" s="17"/>
      <c r="AD50" s="17"/>
    </row>
    <row r="51" spans="2:30" s="1" customFormat="1" ht="15.75" x14ac:dyDescent="0.25">
      <c r="B51" s="558" t="s">
        <v>400</v>
      </c>
      <c r="C51" s="2"/>
      <c r="D51" s="2"/>
      <c r="E51" s="558"/>
      <c r="F51" s="559"/>
      <c r="G51" s="512"/>
      <c r="H51" s="512"/>
      <c r="I51" s="512"/>
      <c r="J51" s="12"/>
      <c r="K51" s="12"/>
      <c r="L51" s="12"/>
      <c r="M51" s="12"/>
      <c r="N51" s="12"/>
      <c r="O51" s="70" t="s">
        <v>12</v>
      </c>
      <c r="Q51" s="342" t="s">
        <v>939</v>
      </c>
      <c r="R51" s="342" t="s">
        <v>543</v>
      </c>
      <c r="S51" s="342" t="s">
        <v>553</v>
      </c>
      <c r="T51" s="342" t="s">
        <v>577</v>
      </c>
      <c r="U51" s="342"/>
      <c r="V51" s="342" t="s">
        <v>566</v>
      </c>
      <c r="W51" s="342"/>
      <c r="X51" s="342"/>
      <c r="Y51" s="342" t="s">
        <v>560</v>
      </c>
      <c r="Z51" s="17"/>
      <c r="AA51" s="17"/>
      <c r="AB51" s="17"/>
      <c r="AC51" s="17"/>
      <c r="AD51" s="17"/>
    </row>
    <row r="52" spans="2:30" s="1" customFormat="1" ht="15.75" x14ac:dyDescent="0.25">
      <c r="B52" s="2"/>
      <c r="C52" s="19"/>
      <c r="D52" s="19"/>
      <c r="E52" s="560"/>
      <c r="F52" s="561"/>
      <c r="G52" s="512"/>
      <c r="H52" s="512"/>
      <c r="I52" s="512"/>
      <c r="J52" s="12"/>
      <c r="K52" s="12"/>
      <c r="L52" s="12"/>
      <c r="M52" s="12"/>
      <c r="N52" s="12"/>
      <c r="O52" s="70" t="s">
        <v>13</v>
      </c>
      <c r="Q52" s="342" t="s">
        <v>941</v>
      </c>
      <c r="R52" s="342" t="s">
        <v>544</v>
      </c>
      <c r="S52" s="342" t="s">
        <v>554</v>
      </c>
      <c r="T52" s="342" t="s">
        <v>576</v>
      </c>
      <c r="U52" s="342"/>
      <c r="V52" s="342" t="s">
        <v>567</v>
      </c>
      <c r="W52" s="342"/>
      <c r="X52" s="342"/>
      <c r="Y52" s="342" t="s">
        <v>561</v>
      </c>
      <c r="Z52" s="17"/>
      <c r="AA52" s="17"/>
      <c r="AB52" s="17"/>
      <c r="AC52" s="17"/>
      <c r="AD52" s="17"/>
    </row>
    <row r="53" spans="2:30" s="1" customFormat="1" ht="15.75" x14ac:dyDescent="0.25">
      <c r="F53" s="39"/>
      <c r="G53" s="512"/>
      <c r="H53" s="512"/>
      <c r="I53" s="512"/>
      <c r="J53" s="12"/>
      <c r="K53" s="12"/>
      <c r="L53" s="12"/>
      <c r="M53" s="12"/>
      <c r="N53" s="12"/>
      <c r="O53" s="17" t="s">
        <v>328</v>
      </c>
      <c r="P53" s="17"/>
      <c r="Q53" s="342" t="s">
        <v>940</v>
      </c>
      <c r="R53" s="342" t="s">
        <v>13</v>
      </c>
      <c r="S53" s="342" t="s">
        <v>555</v>
      </c>
      <c r="T53" s="342" t="s">
        <v>13</v>
      </c>
      <c r="U53" s="342"/>
      <c r="V53" s="342" t="s">
        <v>13</v>
      </c>
      <c r="W53" s="342"/>
      <c r="X53" s="342"/>
      <c r="Y53" s="342" t="s">
        <v>562</v>
      </c>
      <c r="Z53" s="17"/>
      <c r="AA53" s="17"/>
      <c r="AB53" s="17"/>
      <c r="AC53" s="17"/>
      <c r="AD53" s="17"/>
    </row>
    <row r="54" spans="2:30" s="1" customFormat="1" ht="15.75" x14ac:dyDescent="0.25">
      <c r="B54" s="562" t="s">
        <v>399</v>
      </c>
      <c r="C54" s="563" t="str">
        <f>TVC_current_version</f>
        <v>1.7</v>
      </c>
      <c r="D54" s="2"/>
      <c r="E54" s="564">
        <f>TVC_current_date</f>
        <v>45327</v>
      </c>
      <c r="F54" s="39"/>
      <c r="G54" s="512"/>
      <c r="H54" s="512"/>
      <c r="I54" s="512"/>
      <c r="J54" s="12"/>
      <c r="K54" s="12"/>
      <c r="L54" s="12"/>
      <c r="M54" s="12"/>
      <c r="N54" s="12"/>
      <c r="O54" s="17"/>
      <c r="P54" s="17"/>
      <c r="Q54" s="342" t="s">
        <v>13</v>
      </c>
      <c r="R54" s="342"/>
      <c r="S54" s="342" t="s">
        <v>13</v>
      </c>
      <c r="T54" s="342"/>
      <c r="U54" s="342"/>
      <c r="V54" s="342"/>
      <c r="W54" s="342"/>
      <c r="X54" s="342"/>
      <c r="Y54" s="342" t="s">
        <v>13</v>
      </c>
      <c r="Z54" s="17"/>
      <c r="AA54" s="17"/>
      <c r="AB54" s="17"/>
      <c r="AC54" s="17"/>
      <c r="AD54" s="17"/>
    </row>
    <row r="55" spans="2:30" s="1" customFormat="1" ht="15.75" x14ac:dyDescent="0.25">
      <c r="B55" s="2"/>
      <c r="C55" s="2"/>
      <c r="D55" s="2"/>
      <c r="E55" s="4"/>
      <c r="F55" s="39"/>
      <c r="G55" s="512"/>
      <c r="H55" s="512"/>
      <c r="I55" s="512"/>
      <c r="J55" s="12"/>
      <c r="K55" s="12"/>
      <c r="L55" s="12"/>
      <c r="M55" s="12"/>
      <c r="N55" s="12"/>
      <c r="O55" s="70" t="s">
        <v>332</v>
      </c>
      <c r="P55" s="17"/>
      <c r="Q55" s="342"/>
      <c r="R55" s="342"/>
      <c r="S55" s="342"/>
      <c r="T55" s="342"/>
      <c r="U55" s="342"/>
      <c r="V55" s="342"/>
      <c r="W55" s="342"/>
      <c r="X55" s="342"/>
      <c r="Y55" s="342"/>
      <c r="Z55" s="17"/>
      <c r="AA55" s="17"/>
      <c r="AB55" s="17"/>
      <c r="AC55" s="17"/>
      <c r="AD55" s="17"/>
    </row>
    <row r="56" spans="2:30" x14ac:dyDescent="0.25">
      <c r="B56" s="565"/>
      <c r="C56" s="37"/>
      <c r="D56" s="565"/>
      <c r="E56" s="565"/>
      <c r="F56" s="565"/>
      <c r="O56" s="342" t="s">
        <v>333</v>
      </c>
      <c r="P56" s="17"/>
      <c r="Q56" s="17"/>
      <c r="R56" s="17"/>
      <c r="S56" s="17"/>
      <c r="T56" s="17"/>
      <c r="U56" s="17"/>
      <c r="V56" s="17"/>
      <c r="W56" s="17"/>
      <c r="X56" s="17"/>
      <c r="Y56" s="17"/>
      <c r="Z56" s="17"/>
      <c r="AA56" s="17"/>
      <c r="AB56" s="17"/>
      <c r="AC56" s="17"/>
      <c r="AD56" s="17"/>
    </row>
    <row r="57" spans="2:30" s="1" customFormat="1" ht="15.75" x14ac:dyDescent="0.25">
      <c r="B57" s="512"/>
      <c r="C57" s="512"/>
      <c r="D57" s="512"/>
      <c r="E57" s="15"/>
      <c r="F57" s="12"/>
      <c r="G57" s="512"/>
      <c r="H57" s="512"/>
      <c r="I57" s="512"/>
      <c r="J57" s="12"/>
      <c r="K57" s="12"/>
      <c r="L57" s="12"/>
      <c r="M57" s="12"/>
      <c r="N57" s="12"/>
      <c r="O57" s="342" t="s">
        <v>12</v>
      </c>
      <c r="P57" s="17"/>
      <c r="Q57" s="17"/>
      <c r="R57" s="17"/>
      <c r="S57" s="17"/>
      <c r="T57" s="17"/>
      <c r="U57" s="17"/>
      <c r="V57" s="17"/>
      <c r="W57" s="17"/>
      <c r="X57" s="17"/>
      <c r="Y57" s="17"/>
      <c r="Z57" s="17"/>
      <c r="AA57" s="17"/>
      <c r="AB57" s="17"/>
      <c r="AC57" s="17"/>
      <c r="AD57" s="17"/>
    </row>
    <row r="58" spans="2:30" s="1" customFormat="1" ht="15.75" x14ac:dyDescent="0.25">
      <c r="B58" s="512"/>
      <c r="C58" s="512"/>
      <c r="D58" s="512"/>
      <c r="E58" s="15"/>
      <c r="F58" s="12"/>
      <c r="G58" s="512"/>
      <c r="H58" s="512"/>
      <c r="I58" s="512"/>
      <c r="J58" s="12"/>
      <c r="K58" s="12"/>
      <c r="L58" s="12"/>
      <c r="M58" s="12"/>
      <c r="N58" s="12"/>
      <c r="O58" s="342" t="s">
        <v>327</v>
      </c>
      <c r="P58" s="17"/>
      <c r="Q58" s="17"/>
      <c r="R58" s="17"/>
      <c r="S58" s="17"/>
      <c r="T58" s="17"/>
      <c r="U58" s="17"/>
      <c r="V58" s="17"/>
      <c r="W58" s="17"/>
      <c r="X58" s="17"/>
      <c r="Y58" s="17"/>
      <c r="Z58" s="17"/>
      <c r="AA58" s="17"/>
      <c r="AB58" s="17"/>
      <c r="AC58" s="17"/>
      <c r="AD58" s="17"/>
    </row>
    <row r="59" spans="2:30" s="1" customFormat="1" ht="15.75" x14ac:dyDescent="0.25">
      <c r="C59" s="33"/>
      <c r="E59" s="512"/>
      <c r="F59" s="512"/>
      <c r="G59" s="512"/>
      <c r="H59" s="512"/>
      <c r="I59" s="512"/>
      <c r="J59" s="512"/>
      <c r="K59" s="512"/>
      <c r="L59" s="512"/>
      <c r="M59" s="512"/>
      <c r="N59" s="512"/>
      <c r="O59" s="342" t="s">
        <v>328</v>
      </c>
      <c r="P59" s="92"/>
      <c r="Q59" s="17"/>
      <c r="R59" s="17"/>
      <c r="S59" s="17"/>
      <c r="T59" s="17"/>
      <c r="U59" s="17"/>
      <c r="V59" s="17"/>
      <c r="W59" s="17"/>
      <c r="X59" s="17"/>
      <c r="Y59" s="17"/>
      <c r="Z59" s="17"/>
      <c r="AA59" s="17"/>
      <c r="AB59" s="17"/>
      <c r="AC59" s="17"/>
      <c r="AD59" s="17"/>
    </row>
    <row r="60" spans="2:30" s="1" customFormat="1" ht="15.75" x14ac:dyDescent="0.25">
      <c r="B60" s="38"/>
      <c r="C60" s="34" t="s">
        <v>8</v>
      </c>
      <c r="E60" s="15"/>
      <c r="F60" s="12"/>
      <c r="G60" s="512"/>
      <c r="H60" s="512"/>
      <c r="I60" s="512"/>
      <c r="J60" s="12"/>
      <c r="K60" s="12"/>
      <c r="L60" s="12"/>
      <c r="M60" s="12"/>
      <c r="N60" s="12"/>
      <c r="O60" s="17"/>
      <c r="P60" s="92"/>
      <c r="Q60" s="17"/>
      <c r="R60" s="17"/>
      <c r="S60" s="17"/>
      <c r="T60" s="17"/>
      <c r="U60" s="17"/>
      <c r="V60" s="17"/>
      <c r="W60" s="17"/>
      <c r="X60" s="17"/>
      <c r="Y60" s="17"/>
      <c r="Z60" s="17"/>
      <c r="AA60" s="17"/>
      <c r="AB60" s="17"/>
      <c r="AC60" s="17"/>
      <c r="AD60" s="17"/>
    </row>
    <row r="61" spans="2:30" s="1" customFormat="1" ht="15.75" x14ac:dyDescent="0.25">
      <c r="C61" s="566"/>
      <c r="E61" s="15"/>
      <c r="F61" s="12"/>
      <c r="G61" s="512"/>
      <c r="H61" s="512"/>
      <c r="I61" s="512"/>
      <c r="J61" s="12"/>
      <c r="K61" s="12"/>
      <c r="L61" s="12"/>
      <c r="M61" s="12"/>
      <c r="N61" s="12"/>
      <c r="O61" s="342" t="s">
        <v>14</v>
      </c>
      <c r="P61" s="92"/>
      <c r="Q61" s="17"/>
      <c r="R61" s="17"/>
      <c r="S61" s="17"/>
      <c r="T61" s="17"/>
      <c r="U61" s="17"/>
      <c r="V61" s="17"/>
      <c r="W61" s="17"/>
      <c r="X61" s="17"/>
      <c r="Y61" s="17"/>
      <c r="Z61" s="17"/>
      <c r="AA61" s="17"/>
      <c r="AB61" s="17"/>
      <c r="AC61" s="17"/>
      <c r="AD61" s="17"/>
    </row>
    <row r="62" spans="2:30" s="1" customFormat="1" ht="15.75" x14ac:dyDescent="0.25">
      <c r="E62" s="15"/>
      <c r="F62" s="12"/>
      <c r="G62" s="512"/>
      <c r="H62" s="512"/>
      <c r="I62" s="512"/>
      <c r="J62" s="12"/>
      <c r="K62" s="12"/>
      <c r="L62" s="12"/>
      <c r="M62" s="12"/>
      <c r="N62" s="12"/>
      <c r="O62" s="17"/>
      <c r="P62" s="17"/>
      <c r="Q62" s="17"/>
      <c r="R62" s="17"/>
      <c r="S62" s="17"/>
      <c r="T62" s="17"/>
      <c r="U62" s="17"/>
      <c r="V62" s="17"/>
      <c r="W62" s="17"/>
      <c r="X62" s="17"/>
      <c r="Y62" s="17"/>
      <c r="Z62" s="17"/>
      <c r="AA62" s="17"/>
      <c r="AB62" s="17"/>
      <c r="AC62" s="17"/>
      <c r="AD62" s="17"/>
    </row>
    <row r="63" spans="2:30" s="1" customFormat="1" ht="15.75" x14ac:dyDescent="0.25">
      <c r="B63" s="22"/>
      <c r="C63" s="35"/>
      <c r="E63" s="29"/>
      <c r="F63" s="29"/>
      <c r="G63" s="512"/>
      <c r="H63" s="512"/>
      <c r="I63" s="512"/>
      <c r="J63" s="29"/>
      <c r="K63" s="29"/>
      <c r="L63" s="29"/>
      <c r="M63" s="29"/>
      <c r="N63" s="29"/>
      <c r="O63" s="17"/>
      <c r="P63" s="17"/>
      <c r="Q63" s="17"/>
      <c r="R63" s="17"/>
      <c r="S63" s="17"/>
      <c r="T63" s="17"/>
      <c r="U63" s="17"/>
      <c r="V63" s="17"/>
      <c r="W63" s="17"/>
      <c r="X63" s="17"/>
      <c r="Y63" s="17"/>
      <c r="Z63" s="17"/>
      <c r="AA63" s="17"/>
      <c r="AB63" s="17"/>
      <c r="AC63" s="17"/>
      <c r="AD63" s="17"/>
    </row>
    <row r="64" spans="2:30" s="1" customFormat="1" ht="15" customHeight="1" x14ac:dyDescent="0.25">
      <c r="B64" s="10"/>
      <c r="C64" s="36"/>
      <c r="E64" s="25"/>
      <c r="F64" s="14"/>
      <c r="G64" s="512"/>
      <c r="H64" s="512"/>
      <c r="I64" s="512"/>
      <c r="J64" s="14"/>
      <c r="K64" s="14"/>
      <c r="L64" s="14"/>
      <c r="M64" s="14"/>
      <c r="N64" s="14"/>
      <c r="O64" s="48" t="s">
        <v>289</v>
      </c>
      <c r="P64" s="523" t="s">
        <v>276</v>
      </c>
      <c r="Q64" s="17"/>
      <c r="R64" s="17"/>
      <c r="S64" s="17"/>
      <c r="T64" s="17"/>
      <c r="U64" s="512"/>
      <c r="V64" s="512"/>
      <c r="W64" s="512"/>
      <c r="X64" s="512"/>
      <c r="Y64" s="512"/>
      <c r="Z64" s="512"/>
      <c r="AA64" s="512"/>
      <c r="AB64" s="512"/>
      <c r="AC64" s="512"/>
      <c r="AD64" s="512"/>
    </row>
    <row r="65" spans="2:30" s="1" customFormat="1" ht="15.75" x14ac:dyDescent="0.25">
      <c r="B65" s="11"/>
      <c r="C65" s="36"/>
      <c r="E65" s="25"/>
      <c r="F65" s="14"/>
      <c r="G65" s="512"/>
      <c r="H65" s="512"/>
      <c r="I65" s="512"/>
      <c r="J65" s="14"/>
      <c r="K65" s="14"/>
      <c r="L65" s="14"/>
      <c r="M65" s="14"/>
      <c r="N65" s="14"/>
      <c r="O65" s="512"/>
      <c r="P65" s="512"/>
      <c r="Q65" s="512"/>
      <c r="R65" s="512"/>
      <c r="S65" s="512"/>
      <c r="T65" s="512"/>
      <c r="U65" s="512"/>
      <c r="V65" s="512"/>
      <c r="W65" s="512"/>
      <c r="X65" s="512"/>
      <c r="Y65" s="512"/>
      <c r="Z65" s="512"/>
      <c r="AA65" s="512"/>
      <c r="AB65" s="512"/>
      <c r="AC65" s="512"/>
      <c r="AD65" s="512"/>
    </row>
    <row r="66" spans="2:30" s="1" customFormat="1" ht="15.75" x14ac:dyDescent="0.25">
      <c r="B66" s="21"/>
      <c r="C66" s="35"/>
      <c r="E66" s="15"/>
      <c r="F66" s="12"/>
      <c r="G66" s="512"/>
      <c r="H66" s="512"/>
      <c r="I66" s="512"/>
      <c r="J66" s="12"/>
      <c r="K66" s="12"/>
      <c r="L66" s="12"/>
      <c r="M66" s="12"/>
      <c r="N66" s="12"/>
      <c r="O66" s="512"/>
      <c r="P66" s="512"/>
      <c r="Q66" s="512"/>
      <c r="R66" s="512"/>
      <c r="S66" s="512"/>
      <c r="T66" s="512"/>
      <c r="U66" s="512"/>
      <c r="V66" s="512"/>
      <c r="W66" s="512"/>
      <c r="X66" s="512"/>
      <c r="Y66" s="512"/>
      <c r="Z66" s="512"/>
      <c r="AA66" s="512"/>
      <c r="AB66" s="512"/>
      <c r="AC66" s="512"/>
      <c r="AD66" s="512"/>
    </row>
    <row r="67" spans="2:30" s="1" customFormat="1" ht="15.75" x14ac:dyDescent="0.25">
      <c r="B67" s="10"/>
      <c r="C67" s="36"/>
      <c r="E67" s="15"/>
      <c r="F67" s="12"/>
      <c r="G67" s="512"/>
      <c r="H67" s="512"/>
      <c r="I67" s="512"/>
      <c r="J67" s="12"/>
      <c r="K67" s="12"/>
      <c r="L67" s="12"/>
      <c r="M67" s="12"/>
      <c r="N67" s="12"/>
      <c r="O67" s="512"/>
      <c r="Q67" s="512"/>
      <c r="R67" s="512"/>
      <c r="S67" s="512"/>
      <c r="T67" s="512"/>
      <c r="U67" s="512"/>
      <c r="V67" s="512"/>
      <c r="W67" s="512"/>
      <c r="X67" s="512"/>
      <c r="Y67" s="512"/>
      <c r="Z67" s="512"/>
      <c r="AA67" s="512"/>
      <c r="AB67" s="512"/>
      <c r="AC67" s="512"/>
      <c r="AD67" s="512"/>
    </row>
    <row r="68" spans="2:30" s="1" customFormat="1" ht="15.75" x14ac:dyDescent="0.25">
      <c r="B68" s="5"/>
      <c r="C68" s="37"/>
      <c r="E68" s="15"/>
      <c r="F68" s="12"/>
      <c r="G68" s="512"/>
      <c r="H68" s="512"/>
      <c r="I68" s="512"/>
      <c r="J68" s="12"/>
      <c r="K68" s="12"/>
      <c r="L68" s="12"/>
      <c r="M68" s="12"/>
      <c r="N68" s="12"/>
      <c r="O68" s="512"/>
      <c r="P68" s="17"/>
      <c r="Q68" s="512"/>
      <c r="R68" s="512"/>
      <c r="S68" s="512"/>
      <c r="T68" s="512"/>
      <c r="U68" s="512"/>
      <c r="V68" s="512"/>
      <c r="W68" s="512"/>
      <c r="X68" s="512"/>
      <c r="Y68" s="512"/>
      <c r="Z68" s="512"/>
      <c r="AA68" s="512"/>
      <c r="AB68" s="512"/>
      <c r="AC68" s="512"/>
      <c r="AD68" s="512"/>
    </row>
    <row r="69" spans="2:30" s="1" customFormat="1" ht="15.75" x14ac:dyDescent="0.25">
      <c r="B69" s="2"/>
      <c r="C69" s="37"/>
      <c r="E69" s="15"/>
      <c r="F69" s="12"/>
      <c r="G69" s="512"/>
      <c r="H69" s="512"/>
      <c r="I69" s="512"/>
      <c r="J69" s="12"/>
      <c r="K69" s="12"/>
      <c r="L69" s="12"/>
      <c r="M69" s="12"/>
      <c r="N69" s="12"/>
      <c r="O69" s="522" t="s">
        <v>329</v>
      </c>
      <c r="P69" s="523" t="s">
        <v>12</v>
      </c>
      <c r="Q69" s="512"/>
      <c r="R69" s="512"/>
      <c r="S69" s="512"/>
      <c r="T69" s="512"/>
      <c r="U69" s="512"/>
      <c r="V69" s="512"/>
      <c r="W69" s="512"/>
      <c r="X69" s="512"/>
      <c r="Y69" s="512"/>
      <c r="Z69" s="512"/>
      <c r="AA69" s="512"/>
      <c r="AB69" s="512"/>
      <c r="AC69" s="512"/>
      <c r="AD69" s="512"/>
    </row>
    <row r="70" spans="2:30" s="1" customFormat="1" x14ac:dyDescent="0.25">
      <c r="B70" s="2"/>
      <c r="C70" s="37"/>
      <c r="E70" s="2"/>
      <c r="G70" s="512"/>
      <c r="H70" s="512"/>
      <c r="I70" s="512"/>
      <c r="O70" s="512"/>
      <c r="P70" s="512"/>
      <c r="Q70" s="512"/>
      <c r="R70" s="512"/>
      <c r="S70" s="512"/>
      <c r="T70" s="512"/>
      <c r="U70" s="512"/>
      <c r="V70" s="512"/>
      <c r="W70" s="512"/>
      <c r="X70" s="512"/>
      <c r="Y70" s="512"/>
      <c r="Z70" s="512"/>
      <c r="AA70" s="512"/>
      <c r="AB70" s="512"/>
      <c r="AC70" s="512"/>
      <c r="AD70" s="512"/>
    </row>
    <row r="71" spans="2:30" s="1" customFormat="1" x14ac:dyDescent="0.25">
      <c r="C71" s="18"/>
      <c r="E71" s="2"/>
      <c r="G71" s="512"/>
      <c r="H71" s="512"/>
      <c r="I71" s="512"/>
      <c r="O71" s="512"/>
      <c r="P71" s="512"/>
      <c r="Q71" s="512"/>
      <c r="R71" s="512"/>
      <c r="S71" s="512"/>
      <c r="T71" s="512"/>
      <c r="U71" s="512"/>
      <c r="V71" s="512"/>
      <c r="W71" s="512"/>
      <c r="X71" s="512"/>
      <c r="Y71" s="512"/>
      <c r="Z71" s="512"/>
      <c r="AA71" s="512"/>
      <c r="AB71" s="512"/>
      <c r="AC71" s="512"/>
      <c r="AD71" s="512"/>
    </row>
    <row r="72" spans="2:30" s="1" customFormat="1" x14ac:dyDescent="0.25">
      <c r="C72" s="18"/>
      <c r="E72" s="2"/>
      <c r="G72" s="512"/>
      <c r="H72" s="512"/>
      <c r="I72" s="512"/>
      <c r="O72" s="512"/>
      <c r="P72" s="512"/>
      <c r="Q72" s="512"/>
      <c r="R72" s="512"/>
      <c r="S72" s="512"/>
      <c r="T72" s="512"/>
      <c r="U72" s="512"/>
      <c r="V72" s="512"/>
      <c r="W72" s="512"/>
      <c r="X72" s="512"/>
      <c r="Y72" s="512"/>
      <c r="Z72" s="512"/>
      <c r="AA72" s="512"/>
      <c r="AB72" s="512"/>
      <c r="AC72" s="512"/>
      <c r="AD72" s="512"/>
    </row>
    <row r="73" spans="2:30" s="1" customFormat="1" x14ac:dyDescent="0.25">
      <c r="E73" s="2"/>
      <c r="G73" s="512"/>
      <c r="H73" s="512"/>
      <c r="I73" s="512"/>
      <c r="O73" s="512"/>
      <c r="P73" s="512"/>
      <c r="Q73" s="512"/>
      <c r="R73" s="512"/>
      <c r="S73" s="512"/>
      <c r="T73" s="512"/>
      <c r="U73" s="512"/>
      <c r="V73" s="512"/>
      <c r="W73" s="512"/>
      <c r="X73" s="512"/>
      <c r="Y73" s="512"/>
      <c r="Z73" s="512"/>
      <c r="AA73" s="512"/>
      <c r="AB73" s="512"/>
      <c r="AC73" s="512"/>
      <c r="AD73" s="512"/>
    </row>
    <row r="74" spans="2:30" s="1" customFormat="1" x14ac:dyDescent="0.25">
      <c r="C74" s="18"/>
      <c r="E74" s="2"/>
      <c r="G74" s="512"/>
      <c r="H74" s="512"/>
      <c r="I74" s="512"/>
      <c r="O74" s="512"/>
      <c r="P74" s="512"/>
      <c r="Q74" s="512"/>
      <c r="R74" s="512"/>
      <c r="S74" s="512"/>
      <c r="T74" s="512"/>
      <c r="U74" s="512"/>
      <c r="V74" s="512"/>
      <c r="W74" s="512"/>
      <c r="X74" s="512"/>
      <c r="Y74" s="512"/>
      <c r="Z74" s="512"/>
      <c r="AA74" s="512"/>
      <c r="AB74" s="512"/>
      <c r="AC74" s="512"/>
      <c r="AD74" s="512"/>
    </row>
    <row r="75" spans="2:30" s="1" customFormat="1" x14ac:dyDescent="0.25">
      <c r="C75" s="18"/>
      <c r="E75" s="2"/>
      <c r="G75" s="512"/>
      <c r="H75" s="512"/>
      <c r="I75" s="512"/>
      <c r="O75" s="512"/>
      <c r="P75" s="512"/>
      <c r="Q75" s="512"/>
      <c r="R75" s="512"/>
      <c r="S75" s="512"/>
      <c r="T75" s="512"/>
      <c r="U75" s="512"/>
      <c r="V75" s="512"/>
      <c r="W75" s="512"/>
      <c r="X75" s="512"/>
      <c r="Y75" s="512"/>
      <c r="Z75" s="512"/>
      <c r="AA75" s="512"/>
      <c r="AB75" s="512"/>
      <c r="AC75" s="512"/>
      <c r="AD75" s="512"/>
    </row>
    <row r="76" spans="2:30" s="1" customFormat="1" x14ac:dyDescent="0.25">
      <c r="C76" s="18"/>
      <c r="G76" s="512"/>
      <c r="H76" s="512"/>
      <c r="I76" s="512"/>
      <c r="O76" s="512"/>
      <c r="P76" s="512"/>
      <c r="Q76" s="512"/>
      <c r="R76" s="512"/>
      <c r="S76" s="512"/>
      <c r="T76" s="512"/>
      <c r="U76" s="512"/>
      <c r="V76" s="512"/>
      <c r="W76" s="512"/>
      <c r="X76" s="512"/>
      <c r="Y76" s="512"/>
      <c r="Z76" s="512"/>
      <c r="AA76" s="512"/>
      <c r="AB76" s="512"/>
      <c r="AC76" s="512"/>
      <c r="AD76" s="512"/>
    </row>
    <row r="77" spans="2:30" s="1" customFormat="1" x14ac:dyDescent="0.25">
      <c r="C77" s="18"/>
      <c r="G77" s="512"/>
      <c r="H77" s="512"/>
      <c r="I77" s="512"/>
      <c r="J77" s="2"/>
      <c r="K77" s="2"/>
      <c r="O77" s="512"/>
      <c r="P77" s="512"/>
      <c r="Q77" s="512"/>
      <c r="R77" s="512"/>
      <c r="S77" s="512"/>
      <c r="T77" s="512"/>
      <c r="U77" s="512"/>
      <c r="V77" s="512"/>
      <c r="W77" s="512"/>
      <c r="X77" s="512"/>
      <c r="Y77" s="512"/>
      <c r="Z77" s="512"/>
      <c r="AA77" s="512"/>
      <c r="AB77" s="512"/>
      <c r="AC77" s="512"/>
      <c r="AD77" s="512"/>
    </row>
    <row r="78" spans="2:30" s="1" customFormat="1" x14ac:dyDescent="0.25">
      <c r="C78" s="18"/>
      <c r="E78" s="2"/>
      <c r="G78" s="512"/>
      <c r="H78" s="512"/>
      <c r="I78" s="512"/>
      <c r="O78" s="512"/>
      <c r="P78" s="512"/>
      <c r="Q78" s="512"/>
      <c r="R78" s="512"/>
      <c r="S78" s="512"/>
      <c r="T78" s="512"/>
      <c r="U78" s="512"/>
      <c r="V78" s="512"/>
      <c r="W78" s="512"/>
      <c r="X78" s="512"/>
      <c r="Y78" s="512"/>
      <c r="Z78" s="512"/>
      <c r="AA78" s="512"/>
      <c r="AB78" s="512"/>
      <c r="AC78" s="512"/>
      <c r="AD78" s="512"/>
    </row>
    <row r="79" spans="2:30" s="1" customFormat="1" x14ac:dyDescent="0.25">
      <c r="C79" s="18"/>
      <c r="E79" s="2"/>
      <c r="G79" s="512"/>
      <c r="H79" s="512"/>
      <c r="I79" s="512"/>
      <c r="O79" s="512"/>
      <c r="P79" s="512"/>
      <c r="Q79" s="512"/>
      <c r="R79" s="512"/>
      <c r="S79" s="512"/>
      <c r="T79" s="512"/>
      <c r="U79" s="512"/>
      <c r="V79" s="512"/>
      <c r="W79" s="512"/>
      <c r="X79" s="512"/>
      <c r="Y79" s="512"/>
      <c r="Z79" s="512"/>
      <c r="AA79" s="512"/>
      <c r="AB79" s="512"/>
      <c r="AC79" s="512"/>
      <c r="AD79" s="512"/>
    </row>
    <row r="80" spans="2:30" s="1" customFormat="1" x14ac:dyDescent="0.25">
      <c r="C80" s="18"/>
      <c r="E80" s="2"/>
      <c r="G80" s="512"/>
      <c r="H80" s="512"/>
      <c r="I80" s="512"/>
      <c r="O80" s="512"/>
      <c r="P80" s="512"/>
      <c r="Q80" s="522" t="s">
        <v>25</v>
      </c>
      <c r="R80" s="523" t="s">
        <v>82</v>
      </c>
      <c r="S80" s="512"/>
      <c r="T80" s="512"/>
      <c r="U80" s="512"/>
      <c r="V80" s="512"/>
      <c r="W80" s="512"/>
      <c r="X80" s="512"/>
      <c r="Y80" s="512"/>
      <c r="Z80" s="512"/>
      <c r="AA80" s="512"/>
      <c r="AB80" s="512"/>
      <c r="AC80" s="512"/>
      <c r="AD80" s="512"/>
    </row>
    <row r="81" spans="3:30" s="1" customFormat="1" x14ac:dyDescent="0.25">
      <c r="C81" s="18"/>
      <c r="E81" s="2"/>
      <c r="G81" s="512"/>
      <c r="H81" s="512"/>
      <c r="I81" s="512"/>
      <c r="O81" s="512"/>
      <c r="P81" s="512"/>
      <c r="Q81" s="522" t="s">
        <v>320</v>
      </c>
      <c r="R81" s="524" t="s">
        <v>41</v>
      </c>
      <c r="S81" s="512"/>
      <c r="T81" s="512"/>
      <c r="U81" s="512"/>
      <c r="V81" s="512"/>
      <c r="W81" s="512"/>
      <c r="X81" s="512"/>
      <c r="Y81" s="512"/>
      <c r="Z81" s="512"/>
      <c r="AA81" s="512"/>
      <c r="AB81" s="512"/>
      <c r="AC81" s="512"/>
      <c r="AD81" s="512"/>
    </row>
    <row r="82" spans="3:30" s="1" customFormat="1" x14ac:dyDescent="0.25">
      <c r="C82" s="18"/>
      <c r="E82" s="2"/>
      <c r="G82" s="512"/>
      <c r="H82" s="512"/>
      <c r="I82" s="512"/>
      <c r="O82" s="512"/>
      <c r="P82" s="512"/>
      <c r="Q82" s="526" t="s">
        <v>321</v>
      </c>
      <c r="R82" s="524" t="s">
        <v>538</v>
      </c>
      <c r="S82" s="512"/>
      <c r="T82" s="512"/>
      <c r="U82" s="512"/>
      <c r="V82" s="512"/>
      <c r="W82" s="512"/>
      <c r="X82" s="512"/>
      <c r="Y82" s="512"/>
      <c r="Z82" s="512"/>
      <c r="AA82" s="512"/>
      <c r="AB82" s="512"/>
      <c r="AC82" s="512"/>
      <c r="AD82" s="512"/>
    </row>
    <row r="83" spans="3:30" s="1" customFormat="1" x14ac:dyDescent="0.25">
      <c r="C83" s="18"/>
      <c r="E83" s="2"/>
      <c r="G83" s="512"/>
      <c r="H83" s="512"/>
      <c r="I83" s="512"/>
      <c r="O83" s="512"/>
      <c r="P83" s="512"/>
      <c r="Q83" s="512"/>
      <c r="R83" s="512"/>
      <c r="S83" s="512"/>
      <c r="T83" s="512"/>
      <c r="U83" s="512"/>
      <c r="V83" s="512"/>
      <c r="W83" s="512"/>
      <c r="X83" s="512"/>
      <c r="Y83" s="512"/>
      <c r="Z83" s="512"/>
      <c r="AA83" s="512"/>
      <c r="AB83" s="512"/>
      <c r="AC83" s="512"/>
      <c r="AD83" s="512"/>
    </row>
    <row r="84" spans="3:30" s="1" customFormat="1" x14ac:dyDescent="0.25">
      <c r="E84" s="2"/>
      <c r="G84" s="512"/>
      <c r="H84" s="512"/>
      <c r="I84" s="512"/>
      <c r="O84" s="512"/>
      <c r="P84" s="512"/>
      <c r="Q84" s="512"/>
      <c r="R84" s="512"/>
      <c r="S84" s="512"/>
      <c r="T84" s="512"/>
      <c r="U84" s="512"/>
      <c r="V84" s="512"/>
      <c r="W84" s="512"/>
      <c r="X84" s="512"/>
      <c r="Y84" s="512"/>
      <c r="Z84" s="512"/>
      <c r="AA84" s="512"/>
      <c r="AB84" s="512"/>
      <c r="AC84" s="512"/>
      <c r="AD84" s="512"/>
    </row>
    <row r="85" spans="3:30" s="1" customFormat="1" x14ac:dyDescent="0.25">
      <c r="E85" s="2"/>
      <c r="G85" s="512"/>
      <c r="H85" s="512"/>
      <c r="I85" s="512"/>
      <c r="O85" s="512"/>
      <c r="P85" s="512"/>
      <c r="Q85" s="512"/>
      <c r="R85" s="512"/>
      <c r="S85" s="512"/>
      <c r="T85" s="512"/>
      <c r="U85" s="512"/>
      <c r="V85" s="512"/>
      <c r="W85" s="512"/>
      <c r="X85" s="512"/>
      <c r="Y85" s="512"/>
      <c r="Z85" s="512"/>
      <c r="AA85" s="512"/>
      <c r="AB85" s="512"/>
      <c r="AC85" s="512"/>
      <c r="AD85" s="512"/>
    </row>
    <row r="86" spans="3:30" s="1" customFormat="1" x14ac:dyDescent="0.25">
      <c r="E86" s="2"/>
      <c r="G86" s="512"/>
      <c r="H86" s="512"/>
      <c r="I86" s="512"/>
      <c r="O86" s="512"/>
      <c r="P86" s="512"/>
      <c r="Q86" s="512"/>
      <c r="R86" s="512"/>
      <c r="S86" s="512"/>
      <c r="T86" s="512"/>
      <c r="U86" s="512"/>
      <c r="V86" s="512"/>
      <c r="W86" s="512"/>
      <c r="X86" s="512"/>
      <c r="Y86" s="512"/>
      <c r="Z86" s="512"/>
      <c r="AA86" s="512"/>
      <c r="AB86" s="512"/>
      <c r="AC86" s="512"/>
      <c r="AD86" s="512"/>
    </row>
    <row r="87" spans="3:30" s="1" customFormat="1" x14ac:dyDescent="0.25">
      <c r="E87" s="2"/>
      <c r="G87" s="512"/>
      <c r="H87" s="512"/>
      <c r="I87" s="512"/>
      <c r="O87" s="512"/>
      <c r="P87" s="512"/>
      <c r="Q87" s="512"/>
      <c r="R87" s="512"/>
      <c r="S87" s="512"/>
      <c r="T87" s="512"/>
      <c r="U87" s="512"/>
      <c r="V87" s="512"/>
      <c r="W87" s="512"/>
      <c r="X87" s="512"/>
      <c r="Y87" s="512"/>
      <c r="Z87" s="512"/>
      <c r="AA87" s="512"/>
      <c r="AB87" s="512"/>
      <c r="AC87" s="512"/>
      <c r="AD87" s="512"/>
    </row>
    <row r="88" spans="3:30" s="1" customFormat="1" x14ac:dyDescent="0.25">
      <c r="E88" s="2"/>
      <c r="G88" s="512"/>
      <c r="H88" s="512"/>
      <c r="I88" s="512"/>
      <c r="O88" s="512"/>
      <c r="P88" s="512"/>
      <c r="Q88" s="512"/>
      <c r="R88" s="512"/>
      <c r="S88" s="512"/>
      <c r="T88" s="512"/>
      <c r="U88" s="512"/>
      <c r="V88" s="512"/>
      <c r="W88" s="512"/>
      <c r="X88" s="512"/>
      <c r="Y88" s="512"/>
      <c r="Z88" s="512"/>
      <c r="AA88" s="512"/>
      <c r="AB88" s="512"/>
      <c r="AC88" s="512"/>
      <c r="AD88" s="512"/>
    </row>
    <row r="89" spans="3:30" s="1" customFormat="1" x14ac:dyDescent="0.25">
      <c r="E89" s="2"/>
      <c r="G89" s="512"/>
      <c r="H89" s="512"/>
      <c r="I89" s="512"/>
      <c r="O89" s="512"/>
      <c r="P89" s="512"/>
      <c r="Q89" s="512"/>
      <c r="R89" s="512"/>
      <c r="S89" s="512"/>
      <c r="T89" s="512"/>
      <c r="U89" s="512"/>
      <c r="V89" s="512"/>
      <c r="W89" s="512"/>
      <c r="X89" s="512"/>
      <c r="Y89" s="512"/>
      <c r="Z89" s="512"/>
      <c r="AA89" s="512"/>
      <c r="AB89" s="512"/>
      <c r="AC89" s="512"/>
      <c r="AD89" s="512"/>
    </row>
    <row r="90" spans="3:30" s="1" customFormat="1" x14ac:dyDescent="0.25">
      <c r="E90" s="2"/>
      <c r="G90" s="512"/>
      <c r="H90" s="512"/>
      <c r="I90" s="512"/>
      <c r="O90" s="512"/>
      <c r="P90" s="512"/>
      <c r="Q90" s="512"/>
      <c r="R90" s="512"/>
      <c r="S90" s="512"/>
      <c r="T90" s="512"/>
      <c r="U90" s="512"/>
      <c r="V90" s="512"/>
      <c r="W90" s="512"/>
      <c r="X90" s="512"/>
      <c r="Y90" s="512"/>
      <c r="Z90" s="512"/>
      <c r="AA90" s="512"/>
      <c r="AB90" s="512"/>
      <c r="AC90" s="512"/>
      <c r="AD90" s="512"/>
    </row>
    <row r="91" spans="3:30" s="1" customFormat="1" x14ac:dyDescent="0.25">
      <c r="E91" s="2"/>
      <c r="G91" s="512"/>
      <c r="H91" s="512"/>
      <c r="I91" s="512"/>
      <c r="O91" s="512"/>
      <c r="P91" s="512"/>
      <c r="Q91" s="512"/>
      <c r="R91" s="512"/>
      <c r="S91" s="512"/>
      <c r="T91" s="512"/>
      <c r="U91" s="512"/>
      <c r="V91" s="512"/>
      <c r="W91" s="512"/>
      <c r="X91" s="512"/>
      <c r="Y91" s="512"/>
      <c r="Z91" s="512"/>
      <c r="AA91" s="512"/>
      <c r="AB91" s="512"/>
      <c r="AC91" s="512"/>
      <c r="AD91" s="512"/>
    </row>
    <row r="92" spans="3:30" s="1" customFormat="1" x14ac:dyDescent="0.25">
      <c r="E92" s="2"/>
      <c r="G92" s="512"/>
      <c r="H92" s="512"/>
      <c r="I92" s="512"/>
      <c r="O92" s="512"/>
      <c r="P92" s="512"/>
      <c r="Q92" s="512"/>
      <c r="R92" s="512"/>
      <c r="S92" s="512"/>
      <c r="T92" s="512"/>
      <c r="U92" s="512"/>
      <c r="V92" s="512"/>
      <c r="W92" s="512"/>
      <c r="X92" s="512"/>
      <c r="Y92" s="512"/>
      <c r="Z92" s="512"/>
      <c r="AA92" s="512"/>
      <c r="AB92" s="512"/>
      <c r="AC92" s="512"/>
      <c r="AD92" s="512"/>
    </row>
    <row r="93" spans="3:30" s="1" customFormat="1" x14ac:dyDescent="0.25">
      <c r="E93" s="2"/>
      <c r="G93" s="512"/>
      <c r="H93" s="512"/>
      <c r="I93" s="512"/>
      <c r="O93" s="512"/>
      <c r="P93" s="512"/>
      <c r="Q93" s="512"/>
      <c r="R93" s="512"/>
      <c r="S93" s="512"/>
      <c r="T93" s="512"/>
      <c r="U93" s="512"/>
      <c r="V93" s="512"/>
      <c r="W93" s="512"/>
      <c r="X93" s="512"/>
      <c r="Y93" s="512"/>
      <c r="Z93" s="512"/>
      <c r="AA93" s="512"/>
      <c r="AB93" s="512"/>
      <c r="AC93" s="512"/>
      <c r="AD93" s="512"/>
    </row>
    <row r="94" spans="3:30" s="1" customFormat="1" x14ac:dyDescent="0.25">
      <c r="E94" s="2"/>
      <c r="G94" s="512"/>
      <c r="H94" s="512"/>
      <c r="I94" s="512"/>
      <c r="O94" s="512"/>
      <c r="P94" s="512"/>
      <c r="Q94" s="512"/>
      <c r="R94" s="512"/>
      <c r="S94" s="512"/>
      <c r="T94" s="512"/>
      <c r="U94" s="512"/>
      <c r="V94" s="512"/>
      <c r="W94" s="512"/>
      <c r="X94" s="512"/>
      <c r="Y94" s="512"/>
      <c r="Z94" s="512"/>
      <c r="AA94" s="512"/>
      <c r="AB94" s="512"/>
      <c r="AC94" s="512"/>
      <c r="AD94" s="512"/>
    </row>
    <row r="95" spans="3:30" s="1" customFormat="1" x14ac:dyDescent="0.25">
      <c r="E95" s="2"/>
      <c r="G95" s="512"/>
      <c r="H95" s="512"/>
      <c r="I95" s="512"/>
      <c r="O95" s="512"/>
      <c r="P95" s="512"/>
      <c r="Q95" s="512"/>
      <c r="R95" s="512"/>
      <c r="S95" s="512"/>
      <c r="T95" s="512"/>
      <c r="U95" s="512"/>
      <c r="V95" s="512"/>
      <c r="W95" s="512"/>
      <c r="X95" s="512"/>
      <c r="Y95" s="512"/>
      <c r="Z95" s="512"/>
      <c r="AA95" s="512"/>
      <c r="AB95" s="512"/>
      <c r="AC95" s="512"/>
      <c r="AD95" s="512"/>
    </row>
    <row r="96" spans="3:30" s="1" customFormat="1" x14ac:dyDescent="0.25">
      <c r="E96" s="2"/>
      <c r="G96" s="512"/>
      <c r="H96" s="512"/>
      <c r="I96" s="512"/>
      <c r="O96" s="512"/>
      <c r="P96" s="512"/>
      <c r="Q96" s="512"/>
      <c r="R96" s="512"/>
      <c r="S96" s="512"/>
      <c r="T96" s="512"/>
      <c r="U96" s="512"/>
      <c r="V96" s="512"/>
      <c r="W96" s="512"/>
      <c r="X96" s="512"/>
      <c r="Y96" s="512"/>
      <c r="Z96" s="512"/>
      <c r="AA96" s="512"/>
      <c r="AB96" s="512"/>
      <c r="AC96" s="512"/>
      <c r="AD96" s="512"/>
    </row>
    <row r="97" spans="5:30" s="1" customFormat="1" x14ac:dyDescent="0.25">
      <c r="E97" s="2"/>
      <c r="G97" s="512"/>
      <c r="H97" s="512"/>
      <c r="I97" s="512"/>
      <c r="O97" s="512"/>
      <c r="P97" s="512"/>
      <c r="Q97" s="512"/>
      <c r="R97" s="512"/>
      <c r="S97" s="512"/>
      <c r="T97" s="512"/>
      <c r="U97" s="512"/>
      <c r="V97" s="512"/>
      <c r="W97" s="512"/>
      <c r="X97" s="512"/>
      <c r="Y97" s="512"/>
      <c r="Z97" s="512"/>
      <c r="AA97" s="512"/>
      <c r="AB97" s="512"/>
      <c r="AC97" s="512"/>
      <c r="AD97" s="512"/>
    </row>
    <row r="98" spans="5:30" s="1" customFormat="1" x14ac:dyDescent="0.25">
      <c r="E98" s="2"/>
      <c r="G98" s="512"/>
      <c r="H98" s="512"/>
      <c r="I98" s="512"/>
      <c r="O98" s="512"/>
      <c r="P98" s="512"/>
      <c r="Q98" s="512"/>
      <c r="R98" s="512"/>
      <c r="S98" s="512"/>
      <c r="T98" s="512"/>
      <c r="U98" s="512"/>
      <c r="V98" s="512"/>
      <c r="W98" s="512"/>
      <c r="X98" s="512"/>
      <c r="Y98" s="512"/>
      <c r="Z98" s="512"/>
      <c r="AA98" s="512"/>
      <c r="AB98" s="512"/>
      <c r="AC98" s="512"/>
      <c r="AD98" s="512"/>
    </row>
    <row r="99" spans="5:30" s="1" customFormat="1" x14ac:dyDescent="0.25">
      <c r="E99" s="2"/>
      <c r="G99" s="512"/>
      <c r="H99" s="512"/>
      <c r="I99" s="512"/>
      <c r="O99" s="512"/>
      <c r="P99" s="512"/>
      <c r="Q99" s="512"/>
      <c r="R99" s="512"/>
      <c r="S99" s="512"/>
      <c r="T99" s="512"/>
      <c r="U99" s="512"/>
      <c r="V99" s="512"/>
      <c r="W99" s="512"/>
      <c r="X99" s="512"/>
      <c r="Y99" s="512"/>
      <c r="Z99" s="512"/>
      <c r="AA99" s="512"/>
      <c r="AB99" s="512"/>
      <c r="AC99" s="512"/>
      <c r="AD99" s="512"/>
    </row>
    <row r="100" spans="5:30" s="1" customFormat="1" x14ac:dyDescent="0.25">
      <c r="E100" s="2"/>
      <c r="G100" s="512"/>
      <c r="H100" s="512"/>
      <c r="I100" s="512"/>
      <c r="O100" s="512"/>
      <c r="P100" s="512"/>
      <c r="Q100" s="512"/>
      <c r="R100" s="512"/>
      <c r="S100" s="512"/>
      <c r="T100" s="512"/>
      <c r="U100" s="512"/>
      <c r="V100" s="512"/>
      <c r="W100" s="512"/>
      <c r="X100" s="512"/>
      <c r="Y100" s="512"/>
      <c r="Z100" s="512"/>
      <c r="AA100" s="512"/>
      <c r="AB100" s="512"/>
      <c r="AC100" s="512"/>
      <c r="AD100" s="512"/>
    </row>
    <row r="101" spans="5:30" s="1" customFormat="1" x14ac:dyDescent="0.25">
      <c r="E101" s="2"/>
      <c r="G101" s="512"/>
      <c r="H101" s="512"/>
      <c r="I101" s="512"/>
      <c r="O101" s="512"/>
      <c r="P101" s="512"/>
      <c r="Q101" s="512"/>
      <c r="R101" s="512"/>
      <c r="S101" s="512"/>
      <c r="T101" s="512"/>
      <c r="U101" s="512"/>
      <c r="V101" s="512"/>
      <c r="W101" s="512"/>
      <c r="X101" s="512"/>
      <c r="Y101" s="512"/>
      <c r="Z101" s="512"/>
      <c r="AA101" s="512"/>
      <c r="AB101" s="512"/>
      <c r="AC101" s="512"/>
      <c r="AD101" s="512"/>
    </row>
    <row r="102" spans="5:30" s="1" customFormat="1" x14ac:dyDescent="0.25">
      <c r="E102" s="2"/>
      <c r="G102" s="512"/>
      <c r="H102" s="512"/>
      <c r="I102" s="512"/>
      <c r="O102" s="512"/>
      <c r="P102" s="512"/>
      <c r="Q102" s="512"/>
      <c r="R102" s="512"/>
      <c r="S102" s="512"/>
      <c r="T102" s="512"/>
      <c r="U102" s="512"/>
      <c r="V102" s="512"/>
      <c r="W102" s="512"/>
      <c r="X102" s="512"/>
      <c r="Y102" s="512"/>
      <c r="Z102" s="512"/>
      <c r="AA102" s="512"/>
      <c r="AB102" s="512"/>
      <c r="AC102" s="512"/>
      <c r="AD102" s="512"/>
    </row>
    <row r="103" spans="5:30" s="1" customFormat="1" x14ac:dyDescent="0.25">
      <c r="E103" s="2"/>
      <c r="G103" s="512"/>
      <c r="H103" s="512"/>
      <c r="I103" s="512"/>
      <c r="O103" s="512"/>
      <c r="P103" s="512"/>
      <c r="Q103" s="512"/>
      <c r="R103" s="512"/>
      <c r="S103" s="512"/>
      <c r="T103" s="512"/>
      <c r="U103" s="512"/>
      <c r="V103" s="512"/>
      <c r="W103" s="512"/>
      <c r="X103" s="512"/>
      <c r="Y103" s="512"/>
      <c r="Z103" s="512"/>
      <c r="AA103" s="512"/>
      <c r="AB103" s="512"/>
      <c r="AC103" s="512"/>
      <c r="AD103" s="512"/>
    </row>
    <row r="104" spans="5:30" s="1" customFormat="1" x14ac:dyDescent="0.25">
      <c r="E104" s="2"/>
      <c r="G104" s="512"/>
      <c r="H104" s="512"/>
      <c r="I104" s="512"/>
      <c r="O104" s="512"/>
      <c r="P104" s="512"/>
      <c r="Q104" s="512"/>
      <c r="R104" s="512"/>
      <c r="S104" s="512"/>
      <c r="T104" s="512"/>
      <c r="U104" s="512"/>
      <c r="V104" s="512"/>
      <c r="W104" s="512"/>
      <c r="X104" s="512"/>
      <c r="Y104" s="512"/>
      <c r="Z104" s="512"/>
      <c r="AA104" s="512"/>
      <c r="AB104" s="512"/>
      <c r="AC104" s="512"/>
      <c r="AD104" s="512"/>
    </row>
    <row r="105" spans="5:30" s="1" customFormat="1" x14ac:dyDescent="0.25">
      <c r="E105" s="2"/>
      <c r="G105" s="512"/>
      <c r="H105" s="512"/>
      <c r="I105" s="512"/>
      <c r="O105" s="512"/>
      <c r="P105" s="512"/>
      <c r="Q105" s="512"/>
      <c r="R105" s="512"/>
      <c r="S105" s="512"/>
      <c r="T105" s="512"/>
      <c r="U105" s="512"/>
      <c r="V105" s="512"/>
      <c r="W105" s="512"/>
      <c r="X105" s="512"/>
      <c r="Y105" s="512"/>
      <c r="Z105" s="512"/>
      <c r="AA105" s="512"/>
      <c r="AB105" s="512"/>
      <c r="AC105" s="512"/>
      <c r="AD105" s="512"/>
    </row>
    <row r="106" spans="5:30" s="1" customFormat="1" x14ac:dyDescent="0.25">
      <c r="E106" s="2"/>
      <c r="G106" s="512"/>
      <c r="H106" s="512"/>
      <c r="I106" s="512"/>
      <c r="O106" s="512"/>
      <c r="P106" s="512"/>
      <c r="Q106" s="512"/>
      <c r="R106" s="512"/>
      <c r="S106" s="512"/>
      <c r="T106" s="512"/>
      <c r="U106" s="512"/>
      <c r="V106" s="512"/>
      <c r="W106" s="512"/>
      <c r="X106" s="512"/>
      <c r="Y106" s="512"/>
      <c r="Z106" s="512"/>
      <c r="AA106" s="512"/>
      <c r="AB106" s="512"/>
      <c r="AC106" s="512"/>
      <c r="AD106" s="512"/>
    </row>
    <row r="107" spans="5:30" s="1" customFormat="1" x14ac:dyDescent="0.25">
      <c r="E107" s="2"/>
      <c r="G107" s="512"/>
      <c r="H107" s="512"/>
      <c r="I107" s="512"/>
      <c r="O107" s="512"/>
      <c r="P107" s="512"/>
      <c r="Q107" s="512"/>
      <c r="R107" s="512"/>
      <c r="S107" s="512"/>
      <c r="T107" s="512"/>
      <c r="U107" s="512"/>
      <c r="V107" s="512"/>
      <c r="W107" s="512"/>
      <c r="X107" s="512"/>
      <c r="Y107" s="512"/>
      <c r="Z107" s="512"/>
      <c r="AA107" s="512"/>
      <c r="AB107" s="512"/>
      <c r="AC107" s="512"/>
      <c r="AD107" s="512"/>
    </row>
    <row r="108" spans="5:30" s="1" customFormat="1" x14ac:dyDescent="0.25">
      <c r="E108" s="2"/>
      <c r="G108" s="512"/>
      <c r="H108" s="512"/>
      <c r="I108" s="512"/>
      <c r="O108" s="512"/>
      <c r="P108" s="512"/>
      <c r="Q108" s="512"/>
      <c r="R108" s="512"/>
      <c r="S108" s="512"/>
      <c r="T108" s="512"/>
      <c r="U108" s="512"/>
      <c r="V108" s="512"/>
      <c r="W108" s="512"/>
      <c r="X108" s="512"/>
      <c r="Y108" s="512"/>
      <c r="Z108" s="512"/>
      <c r="AA108" s="512"/>
      <c r="AB108" s="512"/>
      <c r="AC108" s="512"/>
      <c r="AD108" s="512"/>
    </row>
    <row r="109" spans="5:30" s="1" customFormat="1" x14ac:dyDescent="0.25">
      <c r="E109" s="2"/>
      <c r="G109" s="512"/>
      <c r="H109" s="512"/>
      <c r="I109" s="512"/>
      <c r="O109" s="512"/>
      <c r="P109" s="512"/>
      <c r="Q109" s="512"/>
      <c r="R109" s="512"/>
      <c r="S109" s="512"/>
      <c r="T109" s="512"/>
      <c r="U109" s="512"/>
      <c r="V109" s="512"/>
      <c r="W109" s="512"/>
      <c r="X109" s="512"/>
      <c r="Y109" s="512"/>
      <c r="Z109" s="512"/>
      <c r="AA109" s="512"/>
      <c r="AB109" s="512"/>
      <c r="AC109" s="512"/>
      <c r="AD109" s="512"/>
    </row>
    <row r="110" spans="5:30" s="1" customFormat="1" x14ac:dyDescent="0.25">
      <c r="E110" s="2"/>
      <c r="G110" s="512"/>
      <c r="H110" s="512"/>
      <c r="I110" s="512"/>
      <c r="O110" s="512"/>
      <c r="P110" s="512"/>
      <c r="Q110" s="512"/>
      <c r="R110" s="512"/>
      <c r="S110" s="512"/>
      <c r="T110" s="512"/>
      <c r="U110" s="512"/>
      <c r="V110" s="512"/>
      <c r="W110" s="512"/>
      <c r="X110" s="512"/>
      <c r="Y110" s="512"/>
      <c r="Z110" s="512"/>
      <c r="AA110" s="512"/>
      <c r="AB110" s="512"/>
      <c r="AC110" s="512"/>
      <c r="AD110" s="512"/>
    </row>
    <row r="111" spans="5:30" s="1" customFormat="1" x14ac:dyDescent="0.25">
      <c r="E111" s="2"/>
      <c r="G111" s="512"/>
      <c r="H111" s="512"/>
      <c r="I111" s="512"/>
      <c r="O111" s="512"/>
      <c r="P111" s="512"/>
      <c r="Q111" s="512"/>
      <c r="R111" s="512"/>
      <c r="S111" s="512"/>
      <c r="T111" s="512"/>
      <c r="U111" s="512"/>
      <c r="V111" s="512"/>
      <c r="W111" s="512"/>
      <c r="X111" s="512"/>
      <c r="Y111" s="512"/>
      <c r="Z111" s="512"/>
      <c r="AA111" s="512"/>
      <c r="AB111" s="512"/>
      <c r="AC111" s="512"/>
      <c r="AD111" s="512"/>
    </row>
    <row r="112" spans="5:30" s="1" customFormat="1" x14ac:dyDescent="0.25">
      <c r="E112" s="2"/>
      <c r="G112" s="512"/>
      <c r="H112" s="512"/>
      <c r="I112" s="512"/>
      <c r="O112" s="512"/>
      <c r="P112" s="512"/>
      <c r="Q112" s="512"/>
      <c r="R112" s="512"/>
      <c r="S112" s="512"/>
      <c r="T112" s="512"/>
      <c r="U112" s="512"/>
      <c r="V112" s="512"/>
      <c r="W112" s="512"/>
      <c r="X112" s="512"/>
      <c r="Y112" s="512"/>
      <c r="Z112" s="512"/>
      <c r="AA112" s="512"/>
      <c r="AB112" s="512"/>
      <c r="AC112" s="512"/>
      <c r="AD112" s="512"/>
    </row>
    <row r="113" spans="5:30" s="1" customFormat="1" x14ac:dyDescent="0.25">
      <c r="E113" s="2"/>
      <c r="G113" s="512"/>
      <c r="H113" s="512"/>
      <c r="I113" s="512"/>
      <c r="O113" s="512"/>
      <c r="P113" s="512"/>
      <c r="Q113" s="512"/>
      <c r="R113" s="512"/>
      <c r="S113" s="512"/>
      <c r="T113" s="512"/>
      <c r="U113" s="512"/>
      <c r="V113" s="512"/>
      <c r="W113" s="512"/>
      <c r="X113" s="512"/>
      <c r="Y113" s="512"/>
      <c r="Z113" s="512"/>
      <c r="AA113" s="512"/>
      <c r="AB113" s="512"/>
      <c r="AC113" s="512"/>
      <c r="AD113" s="512"/>
    </row>
    <row r="114" spans="5:30" s="1" customFormat="1" x14ac:dyDescent="0.25">
      <c r="E114" s="2"/>
      <c r="G114" s="512"/>
      <c r="H114" s="512"/>
      <c r="I114" s="512"/>
      <c r="O114" s="512"/>
      <c r="P114" s="512"/>
      <c r="Q114" s="512"/>
      <c r="R114" s="512"/>
      <c r="S114" s="512"/>
      <c r="T114" s="512"/>
      <c r="U114" s="512"/>
      <c r="V114" s="512"/>
      <c r="W114" s="512"/>
      <c r="X114" s="512"/>
      <c r="Y114" s="512"/>
      <c r="Z114" s="512"/>
      <c r="AA114" s="512"/>
      <c r="AB114" s="512"/>
      <c r="AC114" s="512"/>
      <c r="AD114" s="512"/>
    </row>
    <row r="115" spans="5:30" s="1" customFormat="1" x14ac:dyDescent="0.25">
      <c r="E115" s="2"/>
      <c r="G115" s="512"/>
      <c r="H115" s="512"/>
      <c r="I115" s="512"/>
      <c r="O115" s="512"/>
      <c r="P115" s="512"/>
      <c r="Q115" s="512"/>
      <c r="R115" s="512"/>
      <c r="S115" s="512"/>
      <c r="T115" s="512"/>
      <c r="U115" s="512"/>
      <c r="V115" s="512"/>
      <c r="W115" s="512"/>
      <c r="X115" s="512"/>
      <c r="Y115" s="512"/>
      <c r="Z115" s="512"/>
      <c r="AA115" s="512"/>
      <c r="AB115" s="512"/>
      <c r="AC115" s="512"/>
      <c r="AD115" s="512"/>
    </row>
    <row r="116" spans="5:30" s="1" customFormat="1" x14ac:dyDescent="0.25">
      <c r="E116" s="2"/>
      <c r="G116" s="512"/>
      <c r="H116" s="512"/>
      <c r="I116" s="512"/>
      <c r="O116" s="512"/>
      <c r="P116" s="512"/>
      <c r="Q116" s="512"/>
      <c r="R116" s="512"/>
      <c r="S116" s="512"/>
      <c r="T116" s="512"/>
      <c r="U116" s="512"/>
      <c r="V116" s="512"/>
      <c r="W116" s="512"/>
      <c r="X116" s="512"/>
      <c r="Y116" s="512"/>
      <c r="Z116" s="512"/>
      <c r="AA116" s="512"/>
      <c r="AB116" s="512"/>
      <c r="AC116" s="512"/>
      <c r="AD116" s="512"/>
    </row>
    <row r="117" spans="5:30" s="1" customFormat="1" x14ac:dyDescent="0.25">
      <c r="E117" s="2"/>
      <c r="G117" s="512"/>
      <c r="H117" s="512"/>
      <c r="I117" s="512"/>
      <c r="O117" s="512"/>
      <c r="P117" s="512"/>
      <c r="Q117" s="512"/>
      <c r="R117" s="512"/>
      <c r="S117" s="512"/>
      <c r="T117" s="512"/>
      <c r="U117" s="512"/>
      <c r="V117" s="512"/>
      <c r="W117" s="512"/>
      <c r="X117" s="512"/>
      <c r="Y117" s="512"/>
      <c r="Z117" s="512"/>
      <c r="AA117" s="512"/>
      <c r="AB117" s="512"/>
      <c r="AC117" s="512"/>
      <c r="AD117" s="512"/>
    </row>
    <row r="118" spans="5:30" s="1" customFormat="1" x14ac:dyDescent="0.25">
      <c r="E118" s="2"/>
      <c r="G118" s="512"/>
      <c r="H118" s="512"/>
      <c r="I118" s="512"/>
      <c r="O118" s="512"/>
      <c r="P118" s="512"/>
      <c r="Q118" s="512"/>
      <c r="R118" s="512"/>
      <c r="S118" s="512"/>
      <c r="T118" s="512"/>
      <c r="U118" s="512"/>
      <c r="V118" s="512"/>
      <c r="W118" s="512"/>
      <c r="X118" s="512"/>
      <c r="Y118" s="512"/>
      <c r="Z118" s="512"/>
      <c r="AA118" s="512"/>
      <c r="AB118" s="512"/>
      <c r="AC118" s="512"/>
      <c r="AD118" s="512"/>
    </row>
    <row r="119" spans="5:30" s="1" customFormat="1" x14ac:dyDescent="0.25">
      <c r="E119" s="2"/>
      <c r="G119" s="512"/>
      <c r="H119" s="512"/>
      <c r="I119" s="512"/>
      <c r="O119" s="512"/>
      <c r="P119" s="512"/>
      <c r="Q119" s="512"/>
      <c r="R119" s="512"/>
      <c r="S119" s="512"/>
      <c r="T119" s="512"/>
      <c r="U119" s="512"/>
      <c r="V119" s="512"/>
      <c r="W119" s="512"/>
      <c r="X119" s="512"/>
      <c r="Y119" s="512"/>
      <c r="Z119" s="512"/>
      <c r="AA119" s="512"/>
      <c r="AB119" s="512"/>
      <c r="AC119" s="512"/>
      <c r="AD119" s="512"/>
    </row>
    <row r="120" spans="5:30" s="1" customFormat="1" x14ac:dyDescent="0.25">
      <c r="E120" s="2"/>
      <c r="G120" s="512"/>
      <c r="H120" s="512"/>
      <c r="I120" s="512"/>
      <c r="O120" s="512"/>
      <c r="P120" s="512"/>
      <c r="Q120" s="512"/>
      <c r="R120" s="512"/>
      <c r="S120" s="512"/>
      <c r="T120" s="512"/>
      <c r="U120" s="512"/>
      <c r="V120" s="512"/>
      <c r="W120" s="512"/>
      <c r="X120" s="512"/>
      <c r="Y120" s="512"/>
      <c r="Z120" s="512"/>
      <c r="AA120" s="512"/>
      <c r="AB120" s="512"/>
      <c r="AC120" s="512"/>
      <c r="AD120" s="512"/>
    </row>
    <row r="121" spans="5:30" s="1" customFormat="1" x14ac:dyDescent="0.25">
      <c r="E121" s="2"/>
      <c r="G121" s="512"/>
      <c r="H121" s="512"/>
      <c r="I121" s="512"/>
      <c r="O121" s="512"/>
      <c r="P121" s="512"/>
      <c r="Q121" s="512"/>
      <c r="R121" s="512"/>
      <c r="S121" s="512"/>
      <c r="T121" s="512"/>
      <c r="U121" s="512"/>
      <c r="V121" s="512"/>
      <c r="W121" s="512"/>
      <c r="X121" s="512"/>
      <c r="Y121" s="512"/>
      <c r="Z121" s="512"/>
      <c r="AA121" s="512"/>
      <c r="AB121" s="512"/>
      <c r="AC121" s="512"/>
      <c r="AD121" s="512"/>
    </row>
    <row r="122" spans="5:30" s="1" customFormat="1" x14ac:dyDescent="0.25">
      <c r="E122" s="2"/>
      <c r="G122" s="512"/>
      <c r="H122" s="512"/>
      <c r="I122" s="512"/>
      <c r="O122" s="512"/>
      <c r="P122" s="512"/>
      <c r="Q122" s="512"/>
      <c r="R122" s="512"/>
      <c r="S122" s="512"/>
      <c r="T122" s="512"/>
      <c r="U122" s="512"/>
      <c r="V122" s="512"/>
      <c r="W122" s="512"/>
      <c r="X122" s="512"/>
      <c r="Y122" s="512"/>
      <c r="Z122" s="512"/>
      <c r="AA122" s="512"/>
      <c r="AB122" s="512"/>
      <c r="AC122" s="512"/>
      <c r="AD122" s="512"/>
    </row>
    <row r="123" spans="5:30" s="1" customFormat="1" x14ac:dyDescent="0.25">
      <c r="E123" s="2"/>
      <c r="G123" s="512"/>
      <c r="H123" s="512"/>
      <c r="I123" s="512"/>
      <c r="O123" s="512"/>
      <c r="P123" s="512"/>
      <c r="Q123" s="512"/>
      <c r="R123" s="512"/>
      <c r="S123" s="512"/>
      <c r="T123" s="512"/>
      <c r="U123" s="512"/>
      <c r="V123" s="512"/>
      <c r="W123" s="512"/>
      <c r="X123" s="512"/>
      <c r="Y123" s="512"/>
      <c r="Z123" s="512"/>
      <c r="AA123" s="512"/>
      <c r="AB123" s="512"/>
      <c r="AC123" s="512"/>
      <c r="AD123" s="512"/>
    </row>
    <row r="124" spans="5:30" s="1" customFormat="1" x14ac:dyDescent="0.25">
      <c r="E124" s="2"/>
      <c r="G124" s="512"/>
      <c r="H124" s="512"/>
      <c r="I124" s="512"/>
      <c r="O124" s="512"/>
      <c r="P124" s="512"/>
      <c r="Q124" s="512"/>
      <c r="R124" s="512"/>
      <c r="S124" s="512"/>
      <c r="T124" s="512"/>
      <c r="U124" s="512"/>
      <c r="V124" s="512"/>
      <c r="W124" s="512"/>
      <c r="X124" s="512"/>
      <c r="Y124" s="512"/>
      <c r="Z124" s="512"/>
      <c r="AA124" s="512"/>
      <c r="AB124" s="512"/>
      <c r="AC124" s="512"/>
      <c r="AD124" s="512"/>
    </row>
    <row r="125" spans="5:30" s="1" customFormat="1" x14ac:dyDescent="0.25">
      <c r="E125" s="2"/>
      <c r="G125" s="512"/>
      <c r="H125" s="512"/>
      <c r="I125" s="512"/>
      <c r="O125" s="512"/>
      <c r="P125" s="512"/>
      <c r="Q125" s="512"/>
      <c r="R125" s="512"/>
      <c r="S125" s="512"/>
      <c r="T125" s="512"/>
      <c r="U125" s="512"/>
      <c r="V125" s="512"/>
      <c r="W125" s="512"/>
      <c r="X125" s="512"/>
      <c r="Y125" s="512"/>
      <c r="Z125" s="512"/>
      <c r="AA125" s="512"/>
      <c r="AB125" s="512"/>
      <c r="AC125" s="512"/>
      <c r="AD125" s="512"/>
    </row>
    <row r="126" spans="5:30" s="1" customFormat="1" x14ac:dyDescent="0.25">
      <c r="E126" s="2"/>
      <c r="G126" s="512"/>
      <c r="H126" s="512"/>
      <c r="I126" s="512"/>
      <c r="O126" s="512"/>
      <c r="P126" s="512"/>
      <c r="Q126" s="512"/>
      <c r="R126" s="512"/>
      <c r="S126" s="512"/>
      <c r="T126" s="512"/>
      <c r="U126" s="512"/>
      <c r="V126" s="512"/>
      <c r="W126" s="512"/>
      <c r="X126" s="512"/>
      <c r="Y126" s="512"/>
      <c r="Z126" s="512"/>
      <c r="AA126" s="512"/>
      <c r="AB126" s="512"/>
      <c r="AC126" s="512"/>
      <c r="AD126" s="512"/>
    </row>
    <row r="127" spans="5:30" s="1" customFormat="1" x14ac:dyDescent="0.25">
      <c r="E127" s="2"/>
      <c r="G127" s="512"/>
      <c r="H127" s="512"/>
      <c r="I127" s="512"/>
      <c r="O127" s="512"/>
      <c r="P127" s="512"/>
      <c r="Q127" s="512"/>
      <c r="R127" s="512"/>
      <c r="S127" s="512"/>
      <c r="T127" s="512"/>
      <c r="U127" s="512"/>
      <c r="V127" s="512"/>
      <c r="W127" s="512"/>
      <c r="X127" s="512"/>
      <c r="Y127" s="512"/>
      <c r="Z127" s="512"/>
      <c r="AA127" s="512"/>
      <c r="AB127" s="512"/>
      <c r="AC127" s="512"/>
      <c r="AD127" s="512"/>
    </row>
    <row r="128" spans="5:30" s="1" customFormat="1" x14ac:dyDescent="0.25">
      <c r="E128" s="2"/>
      <c r="G128" s="512"/>
      <c r="H128" s="512"/>
      <c r="I128" s="512"/>
      <c r="O128" s="512"/>
      <c r="P128" s="512"/>
      <c r="Q128" s="512"/>
      <c r="R128" s="512"/>
      <c r="S128" s="512"/>
      <c r="T128" s="512"/>
      <c r="U128" s="512"/>
      <c r="V128" s="512"/>
      <c r="W128" s="512"/>
      <c r="X128" s="512"/>
      <c r="Y128" s="512"/>
      <c r="Z128" s="512"/>
      <c r="AA128" s="512"/>
      <c r="AB128" s="512"/>
      <c r="AC128" s="512"/>
      <c r="AD128" s="512"/>
    </row>
    <row r="129" spans="5:30" s="1" customFormat="1" x14ac:dyDescent="0.25">
      <c r="E129" s="2"/>
      <c r="G129" s="512"/>
      <c r="H129" s="512"/>
      <c r="I129" s="512"/>
      <c r="O129" s="512"/>
      <c r="P129" s="512"/>
      <c r="Q129" s="512"/>
      <c r="R129" s="512"/>
      <c r="S129" s="512"/>
      <c r="T129" s="512"/>
      <c r="U129" s="512"/>
      <c r="V129" s="512"/>
      <c r="W129" s="512"/>
      <c r="X129" s="512"/>
      <c r="Y129" s="512"/>
      <c r="Z129" s="512"/>
      <c r="AA129" s="512"/>
      <c r="AB129" s="512"/>
      <c r="AC129" s="512"/>
      <c r="AD129" s="512"/>
    </row>
    <row r="130" spans="5:30" s="1" customFormat="1" x14ac:dyDescent="0.25">
      <c r="E130" s="2"/>
      <c r="G130" s="512"/>
      <c r="H130" s="512"/>
      <c r="I130" s="512"/>
      <c r="O130" s="512"/>
      <c r="P130" s="512"/>
      <c r="Q130" s="512"/>
      <c r="R130" s="512"/>
      <c r="S130" s="512"/>
      <c r="T130" s="512"/>
      <c r="U130" s="512"/>
      <c r="V130" s="512"/>
      <c r="W130" s="512"/>
      <c r="X130" s="512"/>
      <c r="Y130" s="512"/>
      <c r="Z130" s="512"/>
      <c r="AA130" s="512"/>
      <c r="AB130" s="512"/>
      <c r="AC130" s="512"/>
      <c r="AD130" s="512"/>
    </row>
    <row r="131" spans="5:30" s="1" customFormat="1" x14ac:dyDescent="0.25">
      <c r="E131" s="2"/>
      <c r="G131" s="512"/>
      <c r="H131" s="512"/>
      <c r="I131" s="512"/>
      <c r="O131" s="512"/>
      <c r="P131" s="512"/>
      <c r="Q131" s="512"/>
      <c r="R131" s="512"/>
      <c r="S131" s="512"/>
      <c r="T131" s="512"/>
      <c r="U131" s="512"/>
      <c r="V131" s="512"/>
      <c r="W131" s="512"/>
      <c r="X131" s="512"/>
      <c r="Y131" s="512"/>
      <c r="Z131" s="512"/>
      <c r="AA131" s="512"/>
      <c r="AB131" s="512"/>
      <c r="AC131" s="512"/>
      <c r="AD131" s="512"/>
    </row>
    <row r="132" spans="5:30" s="1" customFormat="1" x14ac:dyDescent="0.25">
      <c r="E132" s="2"/>
      <c r="G132" s="512"/>
      <c r="H132" s="512"/>
      <c r="I132" s="512"/>
      <c r="O132" s="512"/>
      <c r="P132" s="512"/>
      <c r="Q132" s="512"/>
      <c r="R132" s="512"/>
      <c r="S132" s="512"/>
      <c r="T132" s="512"/>
      <c r="U132" s="512"/>
      <c r="V132" s="512"/>
      <c r="W132" s="512"/>
      <c r="X132" s="512"/>
      <c r="Y132" s="512"/>
      <c r="Z132" s="512"/>
      <c r="AA132" s="512"/>
      <c r="AB132" s="512"/>
      <c r="AC132" s="512"/>
      <c r="AD132" s="512"/>
    </row>
    <row r="133" spans="5:30" s="1" customFormat="1" x14ac:dyDescent="0.25">
      <c r="E133" s="2"/>
      <c r="G133" s="512"/>
      <c r="H133" s="512"/>
      <c r="I133" s="512"/>
      <c r="O133" s="512"/>
      <c r="P133" s="512"/>
      <c r="Q133" s="512"/>
      <c r="R133" s="512"/>
      <c r="S133" s="512"/>
      <c r="T133" s="512"/>
      <c r="U133" s="512"/>
      <c r="V133" s="512"/>
      <c r="W133" s="512"/>
      <c r="X133" s="512"/>
      <c r="Y133" s="512"/>
      <c r="Z133" s="512"/>
      <c r="AA133" s="512"/>
      <c r="AB133" s="512"/>
      <c r="AC133" s="512"/>
      <c r="AD133" s="512"/>
    </row>
    <row r="134" spans="5:30" s="1" customFormat="1" x14ac:dyDescent="0.25">
      <c r="E134" s="2"/>
      <c r="G134" s="512"/>
      <c r="H134" s="512"/>
      <c r="I134" s="512"/>
      <c r="O134" s="512"/>
      <c r="P134" s="512"/>
      <c r="Q134" s="512"/>
      <c r="R134" s="512"/>
      <c r="S134" s="512"/>
      <c r="T134" s="512"/>
      <c r="U134" s="512"/>
      <c r="V134" s="512"/>
      <c r="W134" s="512"/>
      <c r="X134" s="512"/>
      <c r="Y134" s="512"/>
      <c r="Z134" s="512"/>
      <c r="AA134" s="512"/>
      <c r="AB134" s="512"/>
      <c r="AC134" s="512"/>
      <c r="AD134" s="512"/>
    </row>
    <row r="135" spans="5:30" s="1" customFormat="1" x14ac:dyDescent="0.25">
      <c r="E135" s="2"/>
      <c r="G135" s="512"/>
      <c r="H135" s="512"/>
      <c r="I135" s="512"/>
      <c r="O135" s="512"/>
      <c r="P135" s="512"/>
      <c r="Q135" s="512"/>
      <c r="R135" s="512"/>
      <c r="S135" s="512"/>
      <c r="T135" s="512"/>
      <c r="U135" s="512"/>
      <c r="V135" s="512"/>
      <c r="W135" s="512"/>
      <c r="X135" s="512"/>
      <c r="Y135" s="512"/>
      <c r="Z135" s="512"/>
      <c r="AA135" s="512"/>
      <c r="AB135" s="512"/>
      <c r="AC135" s="512"/>
      <c r="AD135" s="512"/>
    </row>
    <row r="136" spans="5:30" s="1" customFormat="1" x14ac:dyDescent="0.25">
      <c r="E136" s="2"/>
      <c r="G136" s="512"/>
      <c r="H136" s="512"/>
      <c r="I136" s="512"/>
      <c r="O136" s="512"/>
      <c r="P136" s="512"/>
      <c r="Q136" s="512"/>
      <c r="R136" s="512"/>
      <c r="S136" s="512"/>
      <c r="T136" s="512"/>
      <c r="U136" s="512"/>
      <c r="V136" s="512"/>
      <c r="W136" s="512"/>
      <c r="X136" s="512"/>
      <c r="Y136" s="512"/>
      <c r="Z136" s="512"/>
      <c r="AA136" s="512"/>
      <c r="AB136" s="512"/>
      <c r="AC136" s="512"/>
      <c r="AD136" s="512"/>
    </row>
    <row r="137" spans="5:30" s="1" customFormat="1" x14ac:dyDescent="0.25">
      <c r="E137" s="2"/>
      <c r="G137" s="512"/>
      <c r="H137" s="512"/>
      <c r="I137" s="512"/>
      <c r="O137" s="512"/>
      <c r="P137" s="512"/>
      <c r="Q137" s="512"/>
      <c r="R137" s="512"/>
      <c r="S137" s="512"/>
      <c r="T137" s="512"/>
      <c r="U137" s="512"/>
      <c r="V137" s="512"/>
      <c r="W137" s="512"/>
      <c r="X137" s="512"/>
      <c r="Y137" s="512"/>
      <c r="Z137" s="512"/>
      <c r="AA137" s="512"/>
      <c r="AB137" s="512"/>
      <c r="AC137" s="512"/>
      <c r="AD137" s="512"/>
    </row>
    <row r="138" spans="5:30" s="1" customFormat="1" x14ac:dyDescent="0.25">
      <c r="E138" s="2"/>
      <c r="G138" s="512"/>
      <c r="H138" s="512"/>
      <c r="I138" s="512"/>
      <c r="O138" s="512"/>
      <c r="P138" s="512"/>
      <c r="Q138" s="512"/>
      <c r="R138" s="512"/>
      <c r="S138" s="512"/>
      <c r="T138" s="512"/>
      <c r="U138" s="512"/>
      <c r="V138" s="512"/>
      <c r="W138" s="512"/>
      <c r="X138" s="512"/>
      <c r="Y138" s="512"/>
      <c r="Z138" s="512"/>
      <c r="AA138" s="512"/>
      <c r="AB138" s="512"/>
      <c r="AC138" s="512"/>
      <c r="AD138" s="512"/>
    </row>
    <row r="139" spans="5:30" s="1" customFormat="1" x14ac:dyDescent="0.25">
      <c r="E139" s="2"/>
      <c r="G139" s="512"/>
      <c r="H139" s="512"/>
      <c r="I139" s="512"/>
      <c r="O139" s="512"/>
      <c r="P139" s="512"/>
      <c r="Q139" s="512"/>
      <c r="R139" s="512"/>
      <c r="S139" s="512"/>
      <c r="T139" s="512"/>
      <c r="U139" s="512"/>
      <c r="V139" s="512"/>
      <c r="W139" s="512"/>
      <c r="X139" s="512"/>
      <c r="Y139" s="512"/>
      <c r="Z139" s="512"/>
      <c r="AA139" s="512"/>
      <c r="AB139" s="512"/>
      <c r="AC139" s="512"/>
      <c r="AD139" s="512"/>
    </row>
    <row r="140" spans="5:30" s="1" customFormat="1" x14ac:dyDescent="0.25">
      <c r="E140" s="2"/>
      <c r="G140" s="512"/>
      <c r="H140" s="512"/>
      <c r="I140" s="512"/>
      <c r="O140" s="512"/>
      <c r="P140" s="512"/>
      <c r="Q140" s="512"/>
      <c r="R140" s="512"/>
      <c r="S140" s="512"/>
      <c r="T140" s="512"/>
      <c r="U140" s="512"/>
      <c r="V140" s="512"/>
      <c r="W140" s="512"/>
      <c r="X140" s="512"/>
      <c r="Y140" s="512"/>
      <c r="Z140" s="512"/>
      <c r="AA140" s="512"/>
      <c r="AB140" s="512"/>
      <c r="AC140" s="512"/>
      <c r="AD140" s="512"/>
    </row>
    <row r="141" spans="5:30" s="1" customFormat="1" x14ac:dyDescent="0.25">
      <c r="E141" s="2"/>
      <c r="G141" s="512"/>
      <c r="H141" s="512"/>
      <c r="I141" s="512"/>
      <c r="O141" s="512"/>
      <c r="P141" s="512"/>
      <c r="Q141" s="512"/>
      <c r="R141" s="512"/>
      <c r="S141" s="512"/>
      <c r="T141" s="512"/>
      <c r="U141" s="512"/>
      <c r="V141" s="512"/>
      <c r="W141" s="512"/>
      <c r="X141" s="512"/>
      <c r="Y141" s="512"/>
      <c r="Z141" s="512"/>
      <c r="AA141" s="512"/>
      <c r="AB141" s="512"/>
      <c r="AC141" s="512"/>
      <c r="AD141" s="512"/>
    </row>
    <row r="142" spans="5:30" s="1" customFormat="1" x14ac:dyDescent="0.25">
      <c r="E142" s="2"/>
      <c r="G142" s="512"/>
      <c r="H142" s="512"/>
      <c r="I142" s="512"/>
      <c r="O142" s="512"/>
      <c r="P142" s="512"/>
      <c r="Q142" s="512"/>
      <c r="R142" s="512"/>
      <c r="S142" s="512"/>
      <c r="T142" s="512"/>
      <c r="U142" s="512"/>
      <c r="V142" s="512"/>
      <c r="W142" s="512"/>
      <c r="X142" s="512"/>
      <c r="Y142" s="512"/>
      <c r="Z142" s="512"/>
      <c r="AA142" s="512"/>
      <c r="AB142" s="512"/>
      <c r="AC142" s="512"/>
      <c r="AD142" s="512"/>
    </row>
    <row r="143" spans="5:30" s="1" customFormat="1" x14ac:dyDescent="0.25">
      <c r="E143" s="2"/>
      <c r="G143" s="512"/>
      <c r="H143" s="512"/>
      <c r="I143" s="512"/>
      <c r="O143" s="512"/>
      <c r="P143" s="512"/>
      <c r="Q143" s="512"/>
      <c r="R143" s="512"/>
      <c r="S143" s="512"/>
      <c r="T143" s="512"/>
      <c r="U143" s="512"/>
      <c r="V143" s="512"/>
      <c r="W143" s="512"/>
      <c r="X143" s="512"/>
      <c r="Y143" s="512"/>
      <c r="Z143" s="512"/>
      <c r="AA143" s="512"/>
      <c r="AB143" s="512"/>
      <c r="AC143" s="512"/>
      <c r="AD143" s="512"/>
    </row>
    <row r="144" spans="5:30" s="1" customFormat="1" x14ac:dyDescent="0.25">
      <c r="E144" s="2"/>
      <c r="G144" s="512"/>
      <c r="H144" s="512"/>
      <c r="I144" s="512"/>
      <c r="O144" s="512"/>
      <c r="P144" s="512"/>
      <c r="Q144" s="512"/>
      <c r="R144" s="512"/>
      <c r="S144" s="512"/>
      <c r="T144" s="512"/>
      <c r="U144" s="512"/>
      <c r="V144" s="512"/>
      <c r="W144" s="512"/>
      <c r="X144" s="512"/>
      <c r="Y144" s="512"/>
      <c r="Z144" s="512"/>
      <c r="AA144" s="512"/>
      <c r="AB144" s="512"/>
      <c r="AC144" s="512"/>
      <c r="AD144" s="512"/>
    </row>
    <row r="145" spans="5:30" s="1" customFormat="1" x14ac:dyDescent="0.25">
      <c r="E145" s="2"/>
      <c r="G145" s="512"/>
      <c r="H145" s="512"/>
      <c r="I145" s="512"/>
      <c r="O145" s="512"/>
      <c r="P145" s="512"/>
      <c r="Q145" s="512"/>
      <c r="R145" s="512"/>
      <c r="S145" s="512"/>
      <c r="T145" s="512"/>
      <c r="U145" s="512"/>
      <c r="V145" s="512"/>
      <c r="W145" s="512"/>
      <c r="X145" s="512"/>
      <c r="Y145" s="512"/>
      <c r="Z145" s="512"/>
      <c r="AA145" s="512"/>
      <c r="AB145" s="512"/>
      <c r="AC145" s="512"/>
      <c r="AD145" s="512"/>
    </row>
    <row r="146" spans="5:30" s="1" customFormat="1" x14ac:dyDescent="0.25">
      <c r="E146" s="2"/>
      <c r="G146" s="512"/>
      <c r="H146" s="512"/>
      <c r="I146" s="512"/>
      <c r="O146" s="512"/>
      <c r="P146" s="512"/>
      <c r="Q146" s="512"/>
      <c r="R146" s="512"/>
      <c r="S146" s="512"/>
      <c r="T146" s="512"/>
      <c r="U146" s="512"/>
      <c r="V146" s="512"/>
      <c r="W146" s="512"/>
      <c r="X146" s="512"/>
      <c r="Y146" s="512"/>
      <c r="Z146" s="512"/>
      <c r="AA146" s="512"/>
      <c r="AB146" s="512"/>
      <c r="AC146" s="512"/>
      <c r="AD146" s="512"/>
    </row>
    <row r="147" spans="5:30" s="1" customFormat="1" x14ac:dyDescent="0.25">
      <c r="E147" s="2"/>
      <c r="G147" s="512"/>
      <c r="H147" s="512"/>
      <c r="I147" s="512"/>
      <c r="O147" s="512"/>
      <c r="P147" s="512"/>
      <c r="Q147" s="512"/>
      <c r="R147" s="512"/>
      <c r="S147" s="512"/>
      <c r="T147" s="512"/>
      <c r="U147" s="512"/>
      <c r="V147" s="512"/>
      <c r="W147" s="512"/>
      <c r="X147" s="512"/>
      <c r="Y147" s="512"/>
      <c r="Z147" s="512"/>
      <c r="AA147" s="512"/>
      <c r="AB147" s="512"/>
      <c r="AC147" s="512"/>
      <c r="AD147" s="512"/>
    </row>
    <row r="148" spans="5:30" s="1" customFormat="1" x14ac:dyDescent="0.25">
      <c r="E148" s="2"/>
      <c r="G148" s="512"/>
      <c r="H148" s="512"/>
      <c r="I148" s="512"/>
      <c r="O148" s="512"/>
      <c r="P148" s="512"/>
      <c r="Q148" s="512"/>
      <c r="R148" s="512"/>
      <c r="S148" s="512"/>
      <c r="T148" s="512"/>
      <c r="U148" s="512"/>
      <c r="V148" s="512"/>
      <c r="W148" s="512"/>
      <c r="X148" s="512"/>
      <c r="Y148" s="512"/>
      <c r="Z148" s="512"/>
      <c r="AA148" s="512"/>
      <c r="AB148" s="512"/>
      <c r="AC148" s="512"/>
      <c r="AD148" s="512"/>
    </row>
    <row r="149" spans="5:30" s="1" customFormat="1" x14ac:dyDescent="0.25">
      <c r="E149" s="2"/>
      <c r="G149" s="512"/>
      <c r="H149" s="512"/>
      <c r="I149" s="512"/>
      <c r="O149" s="512"/>
      <c r="P149" s="512"/>
      <c r="Q149" s="512"/>
      <c r="R149" s="512"/>
      <c r="S149" s="512"/>
      <c r="T149" s="512"/>
      <c r="U149" s="512"/>
      <c r="V149" s="512"/>
      <c r="W149" s="512"/>
      <c r="X149" s="512"/>
      <c r="Y149" s="512"/>
      <c r="Z149" s="512"/>
      <c r="AA149" s="512"/>
      <c r="AB149" s="512"/>
      <c r="AC149" s="512"/>
      <c r="AD149" s="512"/>
    </row>
    <row r="150" spans="5:30" s="1" customFormat="1" x14ac:dyDescent="0.25">
      <c r="E150" s="2"/>
      <c r="G150" s="512"/>
      <c r="H150" s="512"/>
      <c r="I150" s="512"/>
      <c r="O150" s="512"/>
      <c r="P150" s="512"/>
      <c r="Q150" s="512"/>
      <c r="R150" s="512"/>
      <c r="S150" s="512"/>
      <c r="T150" s="512"/>
      <c r="U150" s="512"/>
      <c r="V150" s="512"/>
      <c r="W150" s="512"/>
      <c r="X150" s="512"/>
      <c r="Y150" s="512"/>
      <c r="Z150" s="512"/>
      <c r="AA150" s="512"/>
      <c r="AB150" s="512"/>
      <c r="AC150" s="512"/>
      <c r="AD150" s="512"/>
    </row>
    <row r="151" spans="5:30" s="1" customFormat="1" x14ac:dyDescent="0.25">
      <c r="E151" s="2"/>
      <c r="G151" s="512"/>
      <c r="H151" s="512"/>
      <c r="I151" s="512"/>
      <c r="O151" s="512"/>
      <c r="P151" s="512"/>
      <c r="Q151" s="512"/>
      <c r="R151" s="512"/>
      <c r="S151" s="512"/>
      <c r="T151" s="512"/>
      <c r="U151" s="512"/>
      <c r="V151" s="512"/>
      <c r="W151" s="512"/>
      <c r="X151" s="512"/>
      <c r="Y151" s="512"/>
      <c r="Z151" s="512"/>
      <c r="AA151" s="512"/>
      <c r="AB151" s="512"/>
      <c r="AC151" s="512"/>
      <c r="AD151" s="512"/>
    </row>
    <row r="152" spans="5:30" s="1" customFormat="1" x14ac:dyDescent="0.25">
      <c r="E152" s="2"/>
      <c r="G152" s="512"/>
      <c r="H152" s="512"/>
      <c r="I152" s="512"/>
      <c r="O152" s="512"/>
      <c r="P152" s="512"/>
      <c r="Q152" s="512"/>
      <c r="R152" s="512"/>
      <c r="S152" s="512"/>
      <c r="T152" s="512"/>
      <c r="U152" s="512"/>
      <c r="V152" s="512"/>
      <c r="W152" s="512"/>
      <c r="X152" s="512"/>
      <c r="Y152" s="512"/>
      <c r="Z152" s="512"/>
      <c r="AA152" s="512"/>
      <c r="AB152" s="512"/>
      <c r="AC152" s="512"/>
      <c r="AD152" s="512"/>
    </row>
    <row r="153" spans="5:30" s="1" customFormat="1" x14ac:dyDescent="0.25">
      <c r="E153" s="2"/>
      <c r="G153" s="512"/>
      <c r="H153" s="512"/>
      <c r="I153" s="512"/>
      <c r="O153" s="512"/>
      <c r="P153" s="512"/>
      <c r="Q153" s="512"/>
      <c r="R153" s="512"/>
      <c r="S153" s="512"/>
      <c r="T153" s="512"/>
      <c r="U153" s="512"/>
      <c r="V153" s="512"/>
      <c r="W153" s="512"/>
      <c r="X153" s="512"/>
      <c r="Y153" s="512"/>
      <c r="Z153" s="512"/>
      <c r="AA153" s="512"/>
      <c r="AB153" s="512"/>
      <c r="AC153" s="512"/>
      <c r="AD153" s="512"/>
    </row>
    <row r="154" spans="5:30" s="1" customFormat="1" x14ac:dyDescent="0.25">
      <c r="E154" s="2"/>
      <c r="G154" s="512"/>
      <c r="H154" s="512"/>
      <c r="I154" s="512"/>
      <c r="O154" s="512"/>
      <c r="P154" s="512"/>
      <c r="Q154" s="512"/>
      <c r="R154" s="512"/>
      <c r="S154" s="512"/>
      <c r="T154" s="512"/>
      <c r="U154" s="512"/>
      <c r="V154" s="512"/>
      <c r="W154" s="512"/>
      <c r="X154" s="512"/>
      <c r="Y154" s="512"/>
      <c r="Z154" s="512"/>
      <c r="AA154" s="512"/>
      <c r="AB154" s="512"/>
      <c r="AC154" s="512"/>
      <c r="AD154" s="512"/>
    </row>
    <row r="155" spans="5:30" s="1" customFormat="1" x14ac:dyDescent="0.25">
      <c r="E155" s="2"/>
      <c r="G155" s="512"/>
      <c r="H155" s="512"/>
      <c r="I155" s="512"/>
      <c r="O155" s="512"/>
      <c r="P155" s="512"/>
      <c r="Q155" s="512"/>
      <c r="R155" s="512"/>
      <c r="S155" s="512"/>
      <c r="T155" s="512"/>
      <c r="U155" s="512"/>
      <c r="V155" s="512"/>
      <c r="W155" s="512"/>
      <c r="X155" s="512"/>
      <c r="Y155" s="512"/>
      <c r="Z155" s="512"/>
      <c r="AA155" s="512"/>
      <c r="AB155" s="512"/>
      <c r="AC155" s="512"/>
      <c r="AD155" s="512"/>
    </row>
    <row r="156" spans="5:30" s="1" customFormat="1" x14ac:dyDescent="0.25">
      <c r="E156" s="2"/>
      <c r="G156" s="512"/>
      <c r="H156" s="512"/>
      <c r="I156" s="512"/>
      <c r="O156" s="512"/>
      <c r="P156" s="512"/>
      <c r="Q156" s="512"/>
      <c r="R156" s="512"/>
      <c r="S156" s="512"/>
      <c r="T156" s="512"/>
      <c r="U156" s="512"/>
      <c r="V156" s="512"/>
      <c r="W156" s="512"/>
      <c r="X156" s="512"/>
      <c r="Y156" s="512"/>
      <c r="Z156" s="512"/>
      <c r="AA156" s="512"/>
      <c r="AB156" s="512"/>
      <c r="AC156" s="512"/>
      <c r="AD156" s="512"/>
    </row>
    <row r="157" spans="5:30" s="1" customFormat="1" x14ac:dyDescent="0.25">
      <c r="E157" s="2"/>
      <c r="G157" s="512"/>
      <c r="H157" s="512"/>
      <c r="I157" s="512"/>
      <c r="O157" s="512"/>
      <c r="P157" s="512"/>
      <c r="Q157" s="512"/>
      <c r="R157" s="512"/>
      <c r="S157" s="512"/>
      <c r="T157" s="512"/>
      <c r="U157" s="512"/>
      <c r="V157" s="512"/>
      <c r="W157" s="512"/>
      <c r="X157" s="512"/>
      <c r="Y157" s="512"/>
      <c r="Z157" s="512"/>
      <c r="AA157" s="512"/>
      <c r="AB157" s="512"/>
      <c r="AC157" s="512"/>
      <c r="AD157" s="512"/>
    </row>
    <row r="158" spans="5:30" s="1" customFormat="1" x14ac:dyDescent="0.25">
      <c r="E158" s="2"/>
      <c r="G158" s="512"/>
      <c r="H158" s="512"/>
      <c r="I158" s="512"/>
      <c r="O158" s="512"/>
      <c r="P158" s="512"/>
      <c r="Q158" s="512"/>
      <c r="R158" s="512"/>
      <c r="S158" s="512"/>
      <c r="T158" s="512"/>
      <c r="U158" s="512"/>
      <c r="V158" s="512"/>
      <c r="W158" s="512"/>
      <c r="X158" s="512"/>
      <c r="Y158" s="512"/>
      <c r="Z158" s="512"/>
      <c r="AA158" s="512"/>
      <c r="AB158" s="512"/>
      <c r="AC158" s="512"/>
      <c r="AD158" s="512"/>
    </row>
    <row r="159" spans="5:30" s="1" customFormat="1" x14ac:dyDescent="0.25">
      <c r="E159" s="2"/>
      <c r="G159" s="512"/>
      <c r="H159" s="512"/>
      <c r="I159" s="512"/>
      <c r="O159" s="512"/>
      <c r="P159" s="512"/>
      <c r="Q159" s="512"/>
      <c r="R159" s="512"/>
      <c r="S159" s="512"/>
      <c r="T159" s="512"/>
      <c r="U159" s="512"/>
      <c r="V159" s="512"/>
      <c r="W159" s="512"/>
      <c r="X159" s="512"/>
      <c r="Y159" s="512"/>
      <c r="Z159" s="512"/>
      <c r="AA159" s="512"/>
      <c r="AB159" s="512"/>
      <c r="AC159" s="512"/>
      <c r="AD159" s="512"/>
    </row>
    <row r="160" spans="5:30" s="1" customFormat="1" x14ac:dyDescent="0.25">
      <c r="E160" s="2"/>
      <c r="G160" s="512"/>
      <c r="H160" s="512"/>
      <c r="I160" s="512"/>
      <c r="O160" s="512"/>
      <c r="P160" s="512"/>
      <c r="Q160" s="512"/>
      <c r="R160" s="512"/>
      <c r="S160" s="512"/>
      <c r="T160" s="512"/>
      <c r="U160" s="512"/>
      <c r="V160" s="512"/>
      <c r="W160" s="512"/>
      <c r="X160" s="512"/>
      <c r="Y160" s="512"/>
      <c r="Z160" s="512"/>
      <c r="AA160" s="512"/>
      <c r="AB160" s="512"/>
      <c r="AC160" s="512"/>
      <c r="AD160" s="512"/>
    </row>
    <row r="161" spans="5:30" s="1" customFormat="1" x14ac:dyDescent="0.25">
      <c r="E161" s="2"/>
      <c r="G161" s="512"/>
      <c r="H161" s="512"/>
      <c r="I161" s="512"/>
      <c r="O161" s="512"/>
      <c r="P161" s="512"/>
      <c r="Q161" s="512"/>
      <c r="R161" s="512"/>
      <c r="S161" s="512"/>
      <c r="T161" s="512"/>
      <c r="U161" s="512"/>
      <c r="V161" s="512"/>
      <c r="W161" s="512"/>
      <c r="X161" s="512"/>
      <c r="Y161" s="512"/>
      <c r="Z161" s="512"/>
      <c r="AA161" s="512"/>
      <c r="AB161" s="512"/>
      <c r="AC161" s="512"/>
      <c r="AD161" s="512"/>
    </row>
    <row r="162" spans="5:30" s="1" customFormat="1" x14ac:dyDescent="0.25">
      <c r="E162" s="2"/>
      <c r="G162" s="512"/>
      <c r="H162" s="512"/>
      <c r="I162" s="512"/>
      <c r="O162" s="512"/>
      <c r="P162" s="512"/>
      <c r="Q162" s="512"/>
      <c r="R162" s="512"/>
      <c r="S162" s="512"/>
      <c r="T162" s="512"/>
      <c r="U162" s="512"/>
      <c r="V162" s="512"/>
      <c r="W162" s="512"/>
      <c r="X162" s="512"/>
      <c r="Y162" s="512"/>
      <c r="Z162" s="512"/>
      <c r="AA162" s="512"/>
      <c r="AB162" s="512"/>
      <c r="AC162" s="512"/>
      <c r="AD162" s="512"/>
    </row>
    <row r="163" spans="5:30" s="1" customFormat="1" x14ac:dyDescent="0.25">
      <c r="E163" s="2"/>
      <c r="G163" s="512"/>
      <c r="H163" s="512"/>
      <c r="I163" s="512"/>
      <c r="O163" s="512"/>
      <c r="P163" s="512"/>
      <c r="Q163" s="512"/>
      <c r="R163" s="512"/>
      <c r="S163" s="512"/>
      <c r="T163" s="512"/>
      <c r="U163" s="512"/>
      <c r="V163" s="512"/>
      <c r="W163" s="512"/>
      <c r="X163" s="512"/>
      <c r="Y163" s="512"/>
      <c r="Z163" s="512"/>
      <c r="AA163" s="512"/>
      <c r="AB163" s="512"/>
      <c r="AC163" s="512"/>
      <c r="AD163" s="512"/>
    </row>
    <row r="164" spans="5:30" s="1" customFormat="1" x14ac:dyDescent="0.25">
      <c r="E164" s="2"/>
      <c r="G164" s="512"/>
      <c r="H164" s="512"/>
      <c r="I164" s="512"/>
      <c r="O164" s="512"/>
      <c r="P164" s="512"/>
      <c r="Q164" s="512"/>
      <c r="R164" s="512"/>
      <c r="S164" s="512"/>
      <c r="T164" s="512"/>
      <c r="U164" s="512"/>
      <c r="V164" s="512"/>
      <c r="W164" s="512"/>
      <c r="X164" s="512"/>
      <c r="Y164" s="512"/>
      <c r="Z164" s="512"/>
      <c r="AA164" s="512"/>
      <c r="AB164" s="512"/>
      <c r="AC164" s="512"/>
      <c r="AD164" s="512"/>
    </row>
    <row r="165" spans="5:30" s="1" customFormat="1" x14ac:dyDescent="0.25">
      <c r="E165" s="2"/>
      <c r="G165" s="512"/>
      <c r="H165" s="512"/>
      <c r="I165" s="512"/>
      <c r="O165" s="512"/>
      <c r="P165" s="512"/>
      <c r="Q165" s="512"/>
      <c r="R165" s="512"/>
      <c r="S165" s="512"/>
      <c r="T165" s="512"/>
      <c r="U165" s="512"/>
      <c r="V165" s="512"/>
      <c r="W165" s="512"/>
      <c r="X165" s="512"/>
      <c r="Y165" s="512"/>
      <c r="Z165" s="512"/>
      <c r="AA165" s="512"/>
      <c r="AB165" s="512"/>
      <c r="AC165" s="512"/>
      <c r="AD165" s="512"/>
    </row>
    <row r="166" spans="5:30" s="1" customFormat="1" x14ac:dyDescent="0.25">
      <c r="E166" s="2"/>
      <c r="G166" s="512"/>
      <c r="H166" s="512"/>
      <c r="I166" s="512"/>
      <c r="O166" s="512"/>
      <c r="P166" s="512"/>
      <c r="Q166" s="512"/>
      <c r="R166" s="512"/>
      <c r="S166" s="512"/>
      <c r="T166" s="512"/>
      <c r="U166" s="512"/>
      <c r="V166" s="512"/>
      <c r="W166" s="512"/>
      <c r="X166" s="512"/>
      <c r="Y166" s="512"/>
      <c r="Z166" s="512"/>
      <c r="AA166" s="512"/>
      <c r="AB166" s="512"/>
      <c r="AC166" s="512"/>
      <c r="AD166" s="512"/>
    </row>
    <row r="167" spans="5:30" s="1" customFormat="1" x14ac:dyDescent="0.25">
      <c r="E167" s="2"/>
      <c r="G167" s="512"/>
      <c r="H167" s="512"/>
      <c r="I167" s="512"/>
      <c r="O167" s="512"/>
      <c r="P167" s="512"/>
      <c r="Q167" s="512"/>
      <c r="R167" s="512"/>
      <c r="S167" s="512"/>
      <c r="T167" s="512"/>
      <c r="U167" s="512"/>
      <c r="V167" s="512"/>
      <c r="W167" s="512"/>
      <c r="X167" s="512"/>
      <c r="Y167" s="512"/>
      <c r="Z167" s="512"/>
      <c r="AA167" s="512"/>
      <c r="AB167" s="512"/>
      <c r="AC167" s="512"/>
      <c r="AD167" s="512"/>
    </row>
    <row r="168" spans="5:30" s="1" customFormat="1" x14ac:dyDescent="0.25">
      <c r="E168" s="2"/>
      <c r="G168" s="512"/>
      <c r="H168" s="512"/>
      <c r="I168" s="512"/>
      <c r="O168" s="512"/>
      <c r="P168" s="512"/>
      <c r="Q168" s="512"/>
      <c r="R168" s="512"/>
      <c r="S168" s="512"/>
      <c r="T168" s="512"/>
      <c r="U168" s="512"/>
      <c r="V168" s="512"/>
      <c r="W168" s="512"/>
      <c r="X168" s="512"/>
      <c r="Y168" s="512"/>
      <c r="Z168" s="512"/>
      <c r="AA168" s="512"/>
      <c r="AB168" s="512"/>
      <c r="AC168" s="512"/>
      <c r="AD168" s="512"/>
    </row>
    <row r="169" spans="5:30" s="1" customFormat="1" x14ac:dyDescent="0.25">
      <c r="E169" s="2"/>
      <c r="G169" s="512"/>
      <c r="H169" s="512"/>
      <c r="I169" s="512"/>
      <c r="O169" s="512"/>
      <c r="P169" s="512"/>
      <c r="Q169" s="512"/>
      <c r="R169" s="512"/>
      <c r="S169" s="512"/>
      <c r="T169" s="512"/>
      <c r="U169" s="512"/>
      <c r="V169" s="512"/>
      <c r="W169" s="512"/>
      <c r="X169" s="512"/>
      <c r="Y169" s="512"/>
      <c r="Z169" s="512"/>
      <c r="AA169" s="512"/>
      <c r="AB169" s="512"/>
      <c r="AC169" s="512"/>
      <c r="AD169" s="512"/>
    </row>
    <row r="170" spans="5:30" s="1" customFormat="1" x14ac:dyDescent="0.25">
      <c r="E170" s="2"/>
      <c r="G170" s="512"/>
      <c r="H170" s="512"/>
      <c r="I170" s="512"/>
      <c r="O170" s="512"/>
      <c r="P170" s="512"/>
      <c r="Q170" s="512"/>
      <c r="R170" s="512"/>
      <c r="S170" s="512"/>
      <c r="T170" s="512"/>
      <c r="U170" s="512"/>
      <c r="V170" s="512"/>
      <c r="W170" s="512"/>
      <c r="X170" s="512"/>
      <c r="Y170" s="512"/>
      <c r="Z170" s="512"/>
      <c r="AA170" s="512"/>
      <c r="AB170" s="512"/>
      <c r="AC170" s="512"/>
      <c r="AD170" s="512"/>
    </row>
    <row r="171" spans="5:30" s="1" customFormat="1" x14ac:dyDescent="0.25">
      <c r="E171" s="2"/>
      <c r="G171" s="512"/>
      <c r="H171" s="512"/>
      <c r="I171" s="512"/>
      <c r="O171" s="512"/>
      <c r="P171" s="512"/>
      <c r="Q171" s="512"/>
      <c r="R171" s="512"/>
      <c r="S171" s="512"/>
      <c r="T171" s="512"/>
      <c r="U171" s="512"/>
      <c r="V171" s="512"/>
      <c r="W171" s="512"/>
      <c r="X171" s="512"/>
      <c r="Y171" s="512"/>
      <c r="Z171" s="512"/>
      <c r="AA171" s="512"/>
      <c r="AB171" s="512"/>
      <c r="AC171" s="512"/>
      <c r="AD171" s="512"/>
    </row>
    <row r="172" spans="5:30" s="1" customFormat="1" x14ac:dyDescent="0.25">
      <c r="E172" s="2"/>
      <c r="G172" s="512"/>
      <c r="H172" s="512"/>
      <c r="I172" s="512"/>
      <c r="O172" s="512"/>
      <c r="P172" s="512"/>
      <c r="Q172" s="512"/>
      <c r="R172" s="512"/>
      <c r="S172" s="512"/>
      <c r="T172" s="512"/>
      <c r="U172" s="512"/>
      <c r="V172" s="512"/>
      <c r="W172" s="512"/>
      <c r="X172" s="512"/>
      <c r="Y172" s="512"/>
      <c r="Z172" s="512"/>
      <c r="AA172" s="512"/>
      <c r="AB172" s="512"/>
      <c r="AC172" s="512"/>
      <c r="AD172" s="512"/>
    </row>
    <row r="173" spans="5:30" s="1" customFormat="1" x14ac:dyDescent="0.25">
      <c r="E173" s="2"/>
      <c r="G173" s="512"/>
      <c r="H173" s="512"/>
      <c r="I173" s="512"/>
      <c r="O173" s="512"/>
      <c r="P173" s="512"/>
      <c r="Q173" s="512"/>
      <c r="R173" s="512"/>
      <c r="S173" s="512"/>
      <c r="T173" s="512"/>
      <c r="U173" s="512"/>
      <c r="V173" s="512"/>
      <c r="W173" s="512"/>
      <c r="X173" s="512"/>
      <c r="Y173" s="512"/>
      <c r="Z173" s="512"/>
      <c r="AA173" s="512"/>
      <c r="AB173" s="512"/>
      <c r="AC173" s="512"/>
      <c r="AD173" s="512"/>
    </row>
    <row r="174" spans="5:30" s="1" customFormat="1" x14ac:dyDescent="0.25">
      <c r="E174" s="2"/>
      <c r="G174" s="512"/>
      <c r="H174" s="512"/>
      <c r="I174" s="512"/>
      <c r="O174" s="512"/>
      <c r="P174" s="512"/>
      <c r="Q174" s="512"/>
      <c r="R174" s="512"/>
      <c r="S174" s="512"/>
      <c r="T174" s="512"/>
      <c r="U174" s="512"/>
      <c r="V174" s="512"/>
      <c r="W174" s="512"/>
      <c r="X174" s="512"/>
      <c r="Y174" s="512"/>
      <c r="Z174" s="512"/>
      <c r="AA174" s="512"/>
      <c r="AB174" s="512"/>
      <c r="AC174" s="512"/>
      <c r="AD174" s="512"/>
    </row>
    <row r="175" spans="5:30" s="1" customFormat="1" x14ac:dyDescent="0.25">
      <c r="E175" s="2"/>
      <c r="G175" s="512"/>
      <c r="H175" s="512"/>
      <c r="I175" s="512"/>
      <c r="O175" s="512"/>
      <c r="P175" s="512"/>
      <c r="Q175" s="512"/>
      <c r="R175" s="512"/>
      <c r="S175" s="512"/>
      <c r="T175" s="512"/>
      <c r="U175" s="512"/>
      <c r="V175" s="512"/>
      <c r="W175" s="512"/>
      <c r="X175" s="512"/>
      <c r="Y175" s="512"/>
      <c r="Z175" s="512"/>
      <c r="AA175" s="512"/>
      <c r="AB175" s="512"/>
      <c r="AC175" s="512"/>
      <c r="AD175" s="512"/>
    </row>
    <row r="176" spans="5:30" s="1" customFormat="1" x14ac:dyDescent="0.25">
      <c r="E176" s="2"/>
      <c r="G176" s="512"/>
      <c r="H176" s="512"/>
      <c r="I176" s="512"/>
      <c r="O176" s="512"/>
      <c r="P176" s="512"/>
      <c r="Q176" s="512"/>
      <c r="R176" s="512"/>
      <c r="S176" s="512"/>
      <c r="T176" s="512"/>
      <c r="U176" s="512"/>
      <c r="V176" s="512"/>
      <c r="W176" s="512"/>
      <c r="X176" s="512"/>
      <c r="Y176" s="512"/>
      <c r="Z176" s="512"/>
      <c r="AA176" s="512"/>
      <c r="AB176" s="512"/>
      <c r="AC176" s="512"/>
      <c r="AD176" s="512"/>
    </row>
    <row r="177" spans="5:30" s="1" customFormat="1" x14ac:dyDescent="0.25">
      <c r="E177" s="2"/>
      <c r="G177" s="512"/>
      <c r="H177" s="512"/>
      <c r="I177" s="512"/>
      <c r="O177" s="512"/>
      <c r="P177" s="512"/>
      <c r="Q177" s="512"/>
      <c r="R177" s="512"/>
      <c r="S177" s="512"/>
      <c r="T177" s="512"/>
      <c r="U177" s="512"/>
      <c r="V177" s="512"/>
      <c r="W177" s="512"/>
      <c r="X177" s="512"/>
      <c r="Y177" s="512"/>
      <c r="Z177" s="512"/>
      <c r="AA177" s="512"/>
      <c r="AB177" s="512"/>
      <c r="AC177" s="512"/>
      <c r="AD177" s="512"/>
    </row>
    <row r="178" spans="5:30" s="1" customFormat="1" x14ac:dyDescent="0.25">
      <c r="E178" s="2"/>
      <c r="G178" s="512"/>
      <c r="H178" s="512"/>
      <c r="I178" s="512"/>
      <c r="O178" s="512"/>
      <c r="P178" s="512"/>
      <c r="Q178" s="512"/>
      <c r="R178" s="512"/>
      <c r="S178" s="512"/>
      <c r="T178" s="512"/>
      <c r="U178" s="512"/>
      <c r="V178" s="512"/>
      <c r="W178" s="512"/>
      <c r="X178" s="512"/>
      <c r="Y178" s="512"/>
      <c r="Z178" s="512"/>
      <c r="AA178" s="512"/>
      <c r="AB178" s="512"/>
      <c r="AC178" s="512"/>
      <c r="AD178" s="512"/>
    </row>
    <row r="179" spans="5:30" s="1" customFormat="1" x14ac:dyDescent="0.25">
      <c r="E179" s="2"/>
      <c r="G179" s="512"/>
      <c r="H179" s="512"/>
      <c r="I179" s="512"/>
      <c r="O179" s="512"/>
      <c r="P179" s="512"/>
      <c r="Q179" s="512"/>
      <c r="R179" s="512"/>
      <c r="S179" s="512"/>
      <c r="T179" s="512"/>
      <c r="U179" s="512"/>
      <c r="V179" s="512"/>
      <c r="W179" s="512"/>
      <c r="X179" s="512"/>
      <c r="Y179" s="512"/>
      <c r="Z179" s="512"/>
      <c r="AA179" s="512"/>
      <c r="AB179" s="512"/>
      <c r="AC179" s="512"/>
      <c r="AD179" s="512"/>
    </row>
    <row r="180" spans="5:30" s="1" customFormat="1" x14ac:dyDescent="0.25">
      <c r="E180" s="2"/>
      <c r="G180" s="512"/>
      <c r="H180" s="512"/>
      <c r="I180" s="512"/>
      <c r="O180" s="512"/>
      <c r="P180" s="512"/>
      <c r="Q180" s="512"/>
      <c r="R180" s="512"/>
      <c r="S180" s="512"/>
      <c r="T180" s="512"/>
      <c r="U180" s="512"/>
      <c r="V180" s="512"/>
      <c r="W180" s="512"/>
      <c r="X180" s="512"/>
      <c r="Y180" s="512"/>
      <c r="Z180" s="512"/>
      <c r="AA180" s="512"/>
      <c r="AB180" s="512"/>
      <c r="AC180" s="512"/>
      <c r="AD180" s="512"/>
    </row>
    <row r="181" spans="5:30" s="1" customFormat="1" x14ac:dyDescent="0.25">
      <c r="E181" s="2"/>
      <c r="G181" s="512"/>
      <c r="H181" s="512"/>
      <c r="I181" s="512"/>
      <c r="O181" s="512"/>
      <c r="P181" s="512"/>
      <c r="Q181" s="512"/>
      <c r="R181" s="512"/>
      <c r="S181" s="512"/>
      <c r="T181" s="512"/>
      <c r="U181" s="512"/>
      <c r="V181" s="512"/>
      <c r="W181" s="512"/>
      <c r="X181" s="512"/>
      <c r="Y181" s="512"/>
      <c r="Z181" s="512"/>
      <c r="AA181" s="512"/>
      <c r="AB181" s="512"/>
      <c r="AC181" s="512"/>
      <c r="AD181" s="512"/>
    </row>
    <row r="182" spans="5:30" s="1" customFormat="1" x14ac:dyDescent="0.25">
      <c r="E182" s="2"/>
      <c r="G182" s="512"/>
      <c r="H182" s="512"/>
      <c r="I182" s="512"/>
      <c r="O182" s="512"/>
      <c r="P182" s="512"/>
      <c r="Q182" s="512"/>
      <c r="R182" s="512"/>
      <c r="S182" s="512"/>
      <c r="T182" s="512"/>
      <c r="U182" s="512"/>
      <c r="V182" s="512"/>
      <c r="W182" s="512"/>
      <c r="X182" s="512"/>
      <c r="Y182" s="512"/>
      <c r="Z182" s="512"/>
      <c r="AA182" s="512"/>
      <c r="AB182" s="512"/>
      <c r="AC182" s="512"/>
      <c r="AD182" s="512"/>
    </row>
    <row r="183" spans="5:30" s="1" customFormat="1" x14ac:dyDescent="0.25">
      <c r="E183" s="2"/>
      <c r="G183" s="512"/>
      <c r="H183" s="512"/>
      <c r="I183" s="512"/>
      <c r="O183" s="512"/>
      <c r="P183" s="512"/>
      <c r="Q183" s="512"/>
      <c r="R183" s="512"/>
      <c r="S183" s="512"/>
      <c r="T183" s="512"/>
      <c r="U183" s="512"/>
      <c r="V183" s="512"/>
      <c r="W183" s="512"/>
      <c r="X183" s="512"/>
      <c r="Y183" s="512"/>
      <c r="Z183" s="512"/>
      <c r="AA183" s="512"/>
      <c r="AB183" s="512"/>
      <c r="AC183" s="512"/>
      <c r="AD183" s="512"/>
    </row>
    <row r="184" spans="5:30" s="1" customFormat="1" x14ac:dyDescent="0.25">
      <c r="E184" s="2"/>
      <c r="G184" s="512"/>
      <c r="H184" s="512"/>
      <c r="I184" s="512"/>
      <c r="O184" s="512"/>
      <c r="P184" s="512"/>
      <c r="Q184" s="512"/>
      <c r="R184" s="512"/>
      <c r="S184" s="512"/>
      <c r="T184" s="512"/>
      <c r="U184" s="512"/>
      <c r="V184" s="512"/>
      <c r="W184" s="512"/>
      <c r="X184" s="512"/>
      <c r="Y184" s="512"/>
      <c r="Z184" s="512"/>
      <c r="AA184" s="512"/>
      <c r="AB184" s="512"/>
      <c r="AC184" s="512"/>
      <c r="AD184" s="512"/>
    </row>
    <row r="185" spans="5:30" s="1" customFormat="1" x14ac:dyDescent="0.25">
      <c r="E185" s="2"/>
      <c r="G185" s="512"/>
      <c r="H185" s="512"/>
      <c r="I185" s="512"/>
      <c r="O185" s="512"/>
      <c r="P185" s="512"/>
      <c r="Q185" s="512"/>
      <c r="R185" s="512"/>
      <c r="S185" s="512"/>
      <c r="T185" s="512"/>
      <c r="U185" s="512"/>
      <c r="V185" s="512"/>
      <c r="W185" s="512"/>
      <c r="X185" s="512"/>
      <c r="Y185" s="512"/>
      <c r="Z185" s="512"/>
      <c r="AA185" s="512"/>
      <c r="AB185" s="512"/>
      <c r="AC185" s="512"/>
      <c r="AD185" s="512"/>
    </row>
    <row r="186" spans="5:30" s="1" customFormat="1" x14ac:dyDescent="0.25">
      <c r="E186" s="2"/>
      <c r="G186" s="512"/>
      <c r="H186" s="512"/>
      <c r="I186" s="512"/>
      <c r="O186" s="512"/>
      <c r="P186" s="512"/>
      <c r="Q186" s="512"/>
      <c r="R186" s="512"/>
      <c r="S186" s="512"/>
      <c r="T186" s="512"/>
      <c r="U186" s="512"/>
      <c r="V186" s="512"/>
      <c r="W186" s="512"/>
      <c r="X186" s="512"/>
      <c r="Y186" s="512"/>
      <c r="Z186" s="512"/>
      <c r="AA186" s="512"/>
      <c r="AB186" s="512"/>
      <c r="AC186" s="512"/>
      <c r="AD186" s="512"/>
    </row>
  </sheetData>
  <sheetProtection algorithmName="SHA-512" hashValue="HVZv0h/kaq2iEvxlVjwiWpNCosRaoWKU6+q+pwRr0Px7k6XtNvv4oJlroQF4d2LlixhMb8baKHuarT8+jNhbAQ==" saltValue="zmb3qmbMVdT/V6rBYooYkA==" spinCount="100000" sheet="1" formatCells="0"/>
  <sortState xmlns:xlrd2="http://schemas.microsoft.com/office/spreadsheetml/2017/richdata2" ref="AF82:AF86">
    <sortCondition ref="AF82"/>
  </sortState>
  <dataConsolidate/>
  <mergeCells count="5">
    <mergeCell ref="B46:F46"/>
    <mergeCell ref="B49:F49"/>
    <mergeCell ref="B40:F40"/>
    <mergeCell ref="B35:C35"/>
    <mergeCell ref="E35:F35"/>
  </mergeCells>
  <phoneticPr fontId="22" type="noConversion"/>
  <conditionalFormatting sqref="E17:F17">
    <cfRule type="expression" dxfId="4171" priority="10">
      <formula>$F$5=$AE$5</formula>
    </cfRule>
    <cfRule type="expression" dxfId="4170" priority="598">
      <formula>$F$5&lt;&gt;$L$5</formula>
    </cfRule>
  </conditionalFormatting>
  <conditionalFormatting sqref="E16:F16 E17">
    <cfRule type="expression" dxfId="4169" priority="600">
      <formula>$F$5&lt;&gt;$L$5</formula>
    </cfRule>
  </conditionalFormatting>
  <conditionalFormatting sqref="E13:F13">
    <cfRule type="expression" dxfId="4168" priority="603">
      <formula>$F$5&lt;&gt;$L$9</formula>
    </cfRule>
  </conditionalFormatting>
  <conditionalFormatting sqref="E21:F21">
    <cfRule type="expression" dxfId="4167" priority="20">
      <formula>$H$21=0</formula>
    </cfRule>
  </conditionalFormatting>
  <conditionalFormatting sqref="E16:F16">
    <cfRule type="expression" dxfId="4166" priority="11">
      <formula>$F$5=$AE$5</formula>
    </cfRule>
  </conditionalFormatting>
  <conditionalFormatting sqref="E20:F20 E22:F22">
    <cfRule type="expression" dxfId="4165" priority="9">
      <formula>$F$5=$AE$5</formula>
    </cfRule>
  </conditionalFormatting>
  <conditionalFormatting sqref="E18:F27">
    <cfRule type="expression" dxfId="4164" priority="8">
      <formula>$I18=0</formula>
    </cfRule>
  </conditionalFormatting>
  <conditionalFormatting sqref="F18:F27">
    <cfRule type="expression" dxfId="4163" priority="7">
      <formula>$I18=1</formula>
    </cfRule>
  </conditionalFormatting>
  <conditionalFormatting sqref="E28:F28">
    <cfRule type="expression" dxfId="4162" priority="6">
      <formula>$I28=0</formula>
    </cfRule>
  </conditionalFormatting>
  <conditionalFormatting sqref="F28">
    <cfRule type="expression" dxfId="4161" priority="5">
      <formula>$I28=1</formula>
    </cfRule>
  </conditionalFormatting>
  <conditionalFormatting sqref="E15:F15">
    <cfRule type="expression" dxfId="4160" priority="2">
      <formula>$I15=0</formula>
    </cfRule>
  </conditionalFormatting>
  <conditionalFormatting sqref="F15">
    <cfRule type="expression" dxfId="4159" priority="1">
      <formula>$I15=1</formula>
    </cfRule>
  </conditionalFormatting>
  <dataValidations disablePrompts="1" xWindow="982" yWindow="379" count="29">
    <dataValidation type="list" allowBlank="1" showInputMessage="1" showErrorMessage="1" sqref="P98" xr:uid="{00000000-0002-0000-0100-000000000000}">
      <formula1>$P$96:$P$97</formula1>
    </dataValidation>
    <dataValidation allowBlank="1" showErrorMessage="1" sqref="F12:F13 C6 C14:C17 C23:C32 E34" xr:uid="{00000000-0002-0000-0100-000001000000}"/>
    <dataValidation allowBlank="1" showInputMessage="1" showErrorMessage="1" prompt="This is the building address that will appear on the BREEAM certificate and GreenBook Live listing." sqref="B16" xr:uid="{00000000-0002-0000-0100-000002000000}"/>
    <dataValidation allowBlank="1" showInputMessage="1" showErrorMessage="1" prompt="This is a unique reference number supplied by BRE at project registration. If you wish to use this tool to begin an assessment but do not have a reference number, then enter &quot;to be confirmed&quot; in this field (and enter the reference number at a later date)." sqref="C5" xr:uid="{00000000-0002-0000-0100-000003000000}"/>
    <dataValidation allowBlank="1" showInputMessage="1" showErrorMessage="1" promptTitle="Building name" prompt="If you are unable to confirm this information at present, then enter &quot;to be confirmed&quot; in this field (and confirm at a later date)" sqref="C13" xr:uid="{00000000-0002-0000-0100-000004000000}"/>
    <dataValidation type="list" allowBlank="1" showErrorMessage="1" error="Incorrect entry, please re-try." sqref="R80" xr:uid="{00000000-0002-0000-0100-000005000000}">
      <formula1>ADAS01</formula1>
    </dataValidation>
    <dataValidation allowBlank="1" showInputMessage="1" showErrorMessage="1" error="Invalid data entry, please retry." prompt="This information will determine, in part, the applicability of BREEAM issue Ene07 and the number of credits available for BREEAM issue Hea02, when the criteria have been finalised for laboratory facilities." sqref="P43" xr:uid="{00000000-0002-0000-0100-000006000000}"/>
    <dataValidation type="list" allowBlank="1" showErrorMessage="1" error="Invalid data entry, please retry." sqref="F21" xr:uid="{00000000-0002-0000-0100-000007000000}">
      <formula1>AD_Labsize_list</formula1>
    </dataValidation>
    <dataValidation type="list" showErrorMessage="1" error="Invalid data entry, please retry." sqref="F16:F17" xr:uid="{00000000-0002-0000-0100-000009000000}">
      <formula1>AD_YesNo</formula1>
    </dataValidation>
    <dataValidation type="list" allowBlank="1" showErrorMessage="1" error="Invalid data entry, please retry." sqref="F18:F19 P69 F22:F24 F26:F28" xr:uid="{00000000-0002-0000-0100-00000A000000}">
      <formula1>AD_YesNo</formula1>
    </dataValidation>
    <dataValidation type="list" allowBlank="1" showInputMessage="1" showErrorMessage="1" sqref="P64" xr:uid="{00000000-0002-0000-0100-00000B000000}">
      <formula1>TRA01_BuildType</formula1>
    </dataValidation>
    <dataValidation allowBlank="1" showInputMessage="1" showErrorMessage="1" prompt="Insert an electornic signature here." sqref="C61" xr:uid="{00000000-0002-0000-0100-00000C000000}"/>
    <dataValidation type="list" allowBlank="1" showInputMessage="1" showErrorMessage="1" error="Invalid data entry, please re-try" sqref="R81" xr:uid="{00000000-0002-0000-0100-00000D000000}">
      <formula1>AD_BREEAM_stage</formula1>
    </dataValidation>
    <dataValidation allowBlank="1" showInputMessage="1" showErrorMessage="1" error="Invalid data entry, please retry." sqref="F30:F32" xr:uid="{00000000-0002-0000-0100-00000E000000}"/>
    <dataValidation type="list" allowBlank="1" showInputMessage="1" showErrorMessage="1" error="Invalid data entry, please re-try" sqref="R82" xr:uid="{00000000-0002-0000-0100-000010000000}">
      <formula1>$Q$8</formula1>
    </dataValidation>
    <dataValidation allowBlank="1" showErrorMessage="1" prompt=" " sqref="F11" xr:uid="{00000000-0002-0000-0100-000011000000}"/>
    <dataValidation allowBlank="1" showInputMessage="1" showErrorMessage="1" prompt="Bruksareal (BRA) er arealet innenfor omsluttede vegger, ref NS 3940:2012" sqref="E11" xr:uid="{00000000-0002-0000-0100-000012000000}"/>
    <dataValidation allowBlank="1" showInputMessage="1" showErrorMessage="1" prompt="Bruttoareal (BTA) er arealet begrenset av ytterveggens utside eller midt i delevegg, ref NS 3940:2012" sqref="E12" xr:uid="{00000000-0002-0000-0100-000013000000}"/>
    <dataValidation allowBlank="1" showInputMessage="1" showErrorMessage="1" prompt="Det er ingen definisjon av BRAs (salgbart bruksareal) iht. NS 3940:2012. BRAs er den enkelte leilighets BRA, det vil si areal innenfor omsluttende vegger i leiligheten. " sqref="E13" xr:uid="{00000000-0002-0000-0100-000014000000}"/>
    <dataValidation type="list" allowBlank="1" showErrorMessage="1" error="Please review, your data entry is invalid." sqref="F6" xr:uid="{00000000-0002-0000-0100-000015000000}">
      <formula1>$O$5:$O$13</formula1>
    </dataValidation>
    <dataValidation type="list" allowBlank="1" showInputMessage="1" showErrorMessage="1" error="Invalid data entry, please retry." prompt="This information determines the applicability of BREEAM issue Ene02a." sqref="G77:I77 Q42" xr:uid="{00000000-0002-0000-0100-000017000000}">
      <formula1>AD_YesNo</formula1>
    </dataValidation>
    <dataValidation allowBlank="1" showErrorMessage="1" prompt="Please state the company name." sqref="B35" xr:uid="{00000000-0002-0000-0100-000019000000}"/>
    <dataValidation allowBlank="1" showInputMessage="1" showErrorMessage="1" promptTitle="Building description" prompt="Include a brief description og the building (layout, number of floors, etc.). Indicate what is included and if there are any areas excluded from the assessment." sqref="E35:F35" xr:uid="{00000000-0002-0000-0100-00001B000000}"/>
    <dataValidation type="list" allowBlank="1" showErrorMessage="1" error="Please review, your data entry is invalid." sqref="F5" xr:uid="{00000000-0002-0000-0100-00000F000000}">
      <formula1>$L$5:$L$17</formula1>
    </dataValidation>
    <dataValidation type="list" allowBlank="1" showErrorMessage="1" error="Invalid data entry, please retry." sqref="F20" xr:uid="{7FC0A853-413C-49C1-B2DE-3EAE9BFE3F89}">
      <formula1>$Q$51:$Q$54</formula1>
    </dataValidation>
    <dataValidation type="list" allowBlank="1" showErrorMessage="1" error="Invalid data entry, please retry." sqref="F25" xr:uid="{10067917-375C-485B-8027-3530AE81B846}">
      <formula1>$J$30:$J$31</formula1>
    </dataValidation>
    <dataValidation type="list" allowBlank="1" showErrorMessage="1" error="Incorrect entry, please retry." sqref="Q17" xr:uid="{00000000-0002-0000-0100-000016000000}">
      <formula1>$Q$11:$Q$13</formula1>
    </dataValidation>
    <dataValidation type="list" allowBlank="1" showErrorMessage="1" error="Invalid data entry, please retry." sqref="F15" xr:uid="{564102FE-95DE-4AC4-BF96-683EC33772D0}">
      <formula1>$R$22:$R$23</formula1>
    </dataValidation>
    <dataValidation type="list" allowBlank="1" showInputMessage="1" showErrorMessage="1" sqref="F7" xr:uid="{5E513BF1-C693-4DAA-BFDB-76646FFB6EE8}">
      <formula1>$Q$11:$Q$16</formula1>
    </dataValidation>
  </dataValidations>
  <printOptions horizontalCentered="1"/>
  <pageMargins left="0.23622047244094491" right="0.23622047244094491" top="0.32" bottom="0.41" header="0.31496062992125984" footer="0.31496062992125984"/>
  <pageSetup paperSize="9" scale="52" orientation="landscape" errors="blank" r:id="rId1"/>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25" id="{240F26BE-6750-453C-920D-0E16B2A89131}">
            <xm:f>'Manuell filtrering og justering'!$I$2='Manuell filtrering og justering'!$J$2</xm:f>
            <x14:dxf>
              <border>
                <top style="thin">
                  <color theme="0"/>
                </top>
                <vertical/>
                <horizontal/>
              </border>
            </x14:dxf>
          </x14:cfRule>
          <xm:sqref>B17</xm:sqref>
        </x14:conditionalFormatting>
        <x14:conditionalFormatting xmlns:xm="http://schemas.microsoft.com/office/excel/2006/main">
          <x14:cfRule type="expression" priority="24" id="{15BD1200-67FE-42E0-955A-22C5BFC5B389}">
            <xm:f>'Manuell filtrering og justering'!$I$2='Manuell filtrering og justering'!$J$2</xm:f>
            <x14:dxf>
              <border>
                <top style="thin">
                  <color auto="1"/>
                </top>
                <vertical/>
                <horizontal/>
              </border>
            </x14:dxf>
          </x14:cfRule>
          <xm:sqref>C17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387"/>
  <sheetViews>
    <sheetView zoomScale="85" zoomScaleNormal="85" zoomScalePageLayoutView="30" workbookViewId="0">
      <pane ySplit="9" topLeftCell="A10" activePane="bottomLeft" state="frozen"/>
      <selection pane="bottomLeft" activeCell="S8" sqref="S8"/>
    </sheetView>
  </sheetViews>
  <sheetFormatPr defaultColWidth="9.140625" defaultRowHeight="15" x14ac:dyDescent="0.25"/>
  <cols>
    <col min="1" max="1" width="3.28515625" style="19" customWidth="1"/>
    <col min="2" max="2" width="3.42578125" style="19" customWidth="1"/>
    <col min="3" max="3" width="7.85546875" style="19" customWidth="1"/>
    <col min="4" max="4" width="9.5703125" style="64" hidden="1" customWidth="1"/>
    <col min="5" max="5" width="74.140625" style="1" customWidth="1"/>
    <col min="6" max="6" width="9.42578125" style="1" customWidth="1"/>
    <col min="7" max="7" width="7.42578125" style="1" customWidth="1"/>
    <col min="8" max="8" width="9.5703125" style="1" customWidth="1"/>
    <col min="9" max="9" width="13.140625" style="1" customWidth="1"/>
    <col min="10" max="10" width="8.140625" style="1" customWidth="1"/>
    <col min="11" max="11" width="5.140625" style="1" customWidth="1"/>
    <col min="12" max="12" width="30" style="758" customWidth="1"/>
    <col min="13" max="13" width="1" style="818" customWidth="1"/>
    <col min="14" max="14" width="8.5703125" style="761" customWidth="1"/>
    <col min="15" max="15" width="9.5703125" style="761" customWidth="1"/>
    <col min="16" max="16" width="12.42578125" style="761" bestFit="1" customWidth="1"/>
    <col min="17" max="17" width="9" style="761" customWidth="1"/>
    <col min="18" max="18" width="4.85546875" style="761" customWidth="1"/>
    <col min="19" max="19" width="24.28515625" style="761" customWidth="1"/>
    <col min="20" max="20" width="1" style="133" customWidth="1"/>
    <col min="21" max="22" width="9.28515625" style="262" customWidth="1"/>
    <col min="23" max="23" width="12.42578125" style="262" bestFit="1" customWidth="1"/>
    <col min="24" max="24" width="7.7109375" style="262" customWidth="1"/>
    <col min="25" max="25" width="4.85546875" style="262" customWidth="1"/>
    <col min="26" max="26" width="26.7109375" style="761" customWidth="1"/>
    <col min="27" max="27" width="3.5703125" style="23" hidden="1" customWidth="1"/>
    <col min="28" max="28" width="21.42578125" style="23" hidden="1" customWidth="1"/>
    <col min="29" max="29" width="6.42578125" style="132" hidden="1" customWidth="1"/>
    <col min="30" max="30" width="15.7109375" style="261" hidden="1" customWidth="1"/>
    <col min="31" max="32" width="9.140625" style="261" hidden="1" customWidth="1"/>
    <col min="33" max="34" width="9.140625" style="1" hidden="1" customWidth="1"/>
    <col min="35" max="35" width="7.140625" style="1" hidden="1" customWidth="1"/>
    <col min="36" max="36" width="43" style="1" hidden="1" customWidth="1"/>
    <col min="37" max="37" width="11.85546875" style="1" hidden="1" customWidth="1"/>
    <col min="38" max="38" width="27" style="1" hidden="1" customWidth="1"/>
    <col min="39" max="42" width="8.5703125" style="1" hidden="1" customWidth="1"/>
    <col min="43" max="51" width="9.140625" style="1" hidden="1" customWidth="1"/>
    <col min="52" max="52" width="7" style="1" hidden="1" customWidth="1"/>
    <col min="53" max="53" width="9.140625" style="1" hidden="1" customWidth="1"/>
    <col min="54" max="86" width="9.140625" style="1" customWidth="1"/>
    <col min="87" max="16384" width="9.140625" style="1"/>
  </cols>
  <sheetData>
    <row r="1" spans="1:58" ht="42" customHeight="1" x14ac:dyDescent="0.35">
      <c r="A1" s="1068"/>
      <c r="B1" s="1068"/>
      <c r="C1" s="1068"/>
      <c r="D1" s="735"/>
      <c r="E1" s="267" t="s">
        <v>967</v>
      </c>
      <c r="F1" s="268"/>
      <c r="G1" s="268"/>
      <c r="H1" s="267"/>
      <c r="I1" s="268"/>
      <c r="J1" s="268"/>
      <c r="K1" s="268"/>
      <c r="L1" s="1157"/>
      <c r="M1" s="268"/>
      <c r="N1" s="268"/>
      <c r="O1" s="268"/>
      <c r="P1" s="268"/>
      <c r="Q1" s="268"/>
      <c r="R1" s="268"/>
      <c r="S1" s="268"/>
      <c r="T1" s="268"/>
      <c r="U1" s="268"/>
      <c r="V1" s="268"/>
      <c r="W1" s="268"/>
      <c r="X1" s="268"/>
      <c r="Y1" s="268"/>
      <c r="Z1" s="637" t="str">
        <f>IF('Manuell filtrering og justering'!I2='Manuell filtrering og justering'!J2,"Bespoke","")</f>
        <v/>
      </c>
      <c r="AA1" s="268"/>
      <c r="AB1" s="268"/>
      <c r="AC1" s="268"/>
      <c r="AD1" s="1"/>
      <c r="AE1" s="1"/>
      <c r="AF1" s="1"/>
      <c r="AI1" s="669" t="s">
        <v>425</v>
      </c>
      <c r="AJ1" s="668"/>
      <c r="AK1" s="668"/>
      <c r="AL1" s="668"/>
      <c r="AM1" s="668"/>
      <c r="AN1" s="668"/>
      <c r="AO1" s="668"/>
      <c r="AP1" s="668"/>
      <c r="AQ1" s="668"/>
      <c r="AR1" s="668"/>
      <c r="AS1" s="668"/>
      <c r="AT1" s="668"/>
      <c r="AU1" s="668"/>
      <c r="AV1" s="668"/>
      <c r="AW1" s="668"/>
      <c r="AX1" s="668"/>
      <c r="AY1" s="668"/>
      <c r="AZ1" s="668"/>
      <c r="BA1" s="668"/>
    </row>
    <row r="2" spans="1:58" s="64" customFormat="1" ht="6" customHeight="1" x14ac:dyDescent="0.25">
      <c r="A2" s="19"/>
      <c r="B2" s="19"/>
      <c r="C2" s="19"/>
      <c r="E2" s="100">
        <v>1</v>
      </c>
      <c r="F2" s="101">
        <v>2</v>
      </c>
      <c r="G2" s="100">
        <v>3</v>
      </c>
      <c r="H2" s="101">
        <v>4</v>
      </c>
      <c r="I2" s="100">
        <v>5</v>
      </c>
      <c r="J2" s="101">
        <v>6</v>
      </c>
      <c r="K2" s="100">
        <v>7</v>
      </c>
      <c r="L2" s="101">
        <v>8</v>
      </c>
      <c r="M2" s="100">
        <v>9</v>
      </c>
      <c r="N2" s="101">
        <v>10</v>
      </c>
      <c r="O2" s="100">
        <v>11</v>
      </c>
      <c r="P2" s="101">
        <v>12</v>
      </c>
      <c r="Q2" s="100">
        <v>13</v>
      </c>
      <c r="R2" s="101">
        <v>14</v>
      </c>
      <c r="S2" s="100">
        <v>15</v>
      </c>
      <c r="T2" s="101">
        <v>16</v>
      </c>
      <c r="U2" s="100">
        <v>17</v>
      </c>
      <c r="V2" s="101">
        <v>18</v>
      </c>
      <c r="W2" s="100">
        <v>19</v>
      </c>
      <c r="X2" s="101">
        <v>20</v>
      </c>
      <c r="Y2" s="100">
        <v>21</v>
      </c>
      <c r="Z2" s="101">
        <v>22</v>
      </c>
      <c r="AA2" s="100">
        <v>23</v>
      </c>
      <c r="AB2" s="101">
        <v>24</v>
      </c>
      <c r="AC2" s="100">
        <v>25</v>
      </c>
      <c r="AD2" s="101">
        <v>26</v>
      </c>
      <c r="AE2" s="100">
        <v>27</v>
      </c>
      <c r="AF2" s="101">
        <v>28</v>
      </c>
      <c r="AG2" s="100">
        <v>29</v>
      </c>
      <c r="AH2" s="101">
        <v>30</v>
      </c>
      <c r="AI2" s="100">
        <v>31</v>
      </c>
      <c r="AJ2" s="101">
        <v>32</v>
      </c>
      <c r="AK2" s="100">
        <v>33</v>
      </c>
      <c r="AL2" s="101">
        <v>34</v>
      </c>
      <c r="AM2" s="100">
        <v>35</v>
      </c>
      <c r="AN2" s="101">
        <v>36</v>
      </c>
      <c r="AO2" s="100">
        <v>37</v>
      </c>
      <c r="AP2" s="101">
        <v>38</v>
      </c>
      <c r="AQ2" s="100">
        <v>39</v>
      </c>
      <c r="AR2" s="101">
        <v>40</v>
      </c>
      <c r="AS2" s="100">
        <v>41</v>
      </c>
      <c r="AT2" s="101">
        <v>42</v>
      </c>
      <c r="AU2" s="100">
        <v>43</v>
      </c>
      <c r="AV2" s="101">
        <v>44</v>
      </c>
      <c r="AW2" s="100">
        <v>45</v>
      </c>
      <c r="AX2" s="101">
        <v>46</v>
      </c>
      <c r="AY2" s="100">
        <v>47</v>
      </c>
      <c r="AZ2" s="101">
        <v>48</v>
      </c>
      <c r="BA2" s="100">
        <v>49</v>
      </c>
    </row>
    <row r="3" spans="1:58" ht="20.25" customHeight="1" x14ac:dyDescent="0.4">
      <c r="A3" s="1012"/>
      <c r="B3" s="1012"/>
      <c r="C3" s="1012"/>
      <c r="D3" s="736"/>
      <c r="E3" s="285"/>
      <c r="F3" s="102"/>
      <c r="G3" s="1310" t="s">
        <v>215</v>
      </c>
      <c r="H3" s="1311"/>
      <c r="I3" s="1311"/>
      <c r="J3" s="1311"/>
      <c r="K3" s="1311"/>
      <c r="L3" s="739"/>
      <c r="M3" s="801"/>
      <c r="N3" s="1310" t="s">
        <v>220</v>
      </c>
      <c r="O3" s="1311"/>
      <c r="P3" s="1311"/>
      <c r="Q3" s="1311"/>
      <c r="R3" s="1311"/>
      <c r="S3" s="1312"/>
      <c r="T3" s="800"/>
      <c r="U3" s="1310" t="s">
        <v>221</v>
      </c>
      <c r="V3" s="1311"/>
      <c r="W3" s="1311"/>
      <c r="X3" s="1311"/>
      <c r="Y3" s="1311"/>
      <c r="Z3" s="1312"/>
      <c r="AA3" s="675"/>
      <c r="AB3" s="685" t="s">
        <v>423</v>
      </c>
      <c r="AC3" s="638"/>
      <c r="AD3" s="638"/>
      <c r="AE3" s="638"/>
      <c r="AF3" s="639"/>
      <c r="AJ3" s="3" t="s">
        <v>402</v>
      </c>
      <c r="AK3" s="1" t="str">
        <f>ADPT</f>
        <v>New Construction (fully fitted)</v>
      </c>
    </row>
    <row r="4" spans="1:58" s="2" customFormat="1" ht="15" customHeight="1" x14ac:dyDescent="0.25">
      <c r="A4" s="1012"/>
      <c r="B4" s="1012"/>
      <c r="C4" s="1012"/>
      <c r="D4" s="736"/>
      <c r="E4" s="103" t="s">
        <v>21</v>
      </c>
      <c r="F4" s="98"/>
      <c r="G4" s="104" t="s">
        <v>312</v>
      </c>
      <c r="H4" s="105"/>
      <c r="I4" s="1016"/>
      <c r="J4" s="1016"/>
      <c r="K4" s="1017"/>
      <c r="L4" s="106" t="str">
        <f>BP_BREEAMRating</f>
        <v>Unclassified</v>
      </c>
      <c r="M4" s="740"/>
      <c r="N4" s="929" t="str">
        <f>IF(S8=Poeng!D278,Poeng!E278,Poeng!F278)</f>
        <v>To activate select YES in cell S8</v>
      </c>
      <c r="O4" s="802"/>
      <c r="P4" s="802"/>
      <c r="Q4" s="802"/>
      <c r="R4" s="802"/>
      <c r="S4" s="803" t="str">
        <f>IF(S8=AD_no,"",Poeng!BH265)</f>
        <v/>
      </c>
      <c r="T4" s="271"/>
      <c r="U4" s="931" t="str">
        <f>IF(Z8=Poeng!D278,Poeng!E279,Poeng!F279)</f>
        <v>To activate select YES in cell Z8</v>
      </c>
      <c r="V4" s="804"/>
      <c r="W4" s="804"/>
      <c r="X4" s="804"/>
      <c r="Y4" s="804"/>
      <c r="Z4" s="803" t="str">
        <f>IF(Z8=AD_no,"",Poeng!BK265)</f>
        <v/>
      </c>
      <c r="AA4" s="98"/>
      <c r="AB4" s="1313" t="s">
        <v>459</v>
      </c>
      <c r="AC4" s="107"/>
      <c r="AD4" s="37"/>
      <c r="AE4" s="37"/>
      <c r="AF4" s="37"/>
      <c r="AG4" s="37"/>
      <c r="AJ4" s="46" t="str">
        <f>IF(OR(AK3=AK4,AK3=AK5),ais_ja,ais_nei)</f>
        <v>Nei</v>
      </c>
      <c r="AK4" s="2" t="str">
        <f>ADPT02</f>
        <v>New Construction (shell only)</v>
      </c>
      <c r="AU4" s="20"/>
      <c r="AV4" s="20"/>
      <c r="AW4" s="20"/>
      <c r="AX4" s="20"/>
    </row>
    <row r="5" spans="1:58" s="2" customFormat="1" ht="15" customHeight="1" x14ac:dyDescent="0.25">
      <c r="A5" s="1012"/>
      <c r="B5" s="1012"/>
      <c r="C5" s="1012"/>
      <c r="D5" s="736"/>
      <c r="E5" s="108" t="str">
        <f>IF(ISBLANK(ADBN),"",ADBN)</f>
        <v/>
      </c>
      <c r="F5" s="98"/>
      <c r="G5" s="109" t="s">
        <v>84</v>
      </c>
      <c r="H5" s="110"/>
      <c r="I5" s="1018"/>
      <c r="J5" s="1018"/>
      <c r="K5" s="111"/>
      <c r="L5" s="272">
        <f>Score_Initial</f>
        <v>0</v>
      </c>
      <c r="M5" s="740"/>
      <c r="N5" s="930" t="s">
        <v>84</v>
      </c>
      <c r="O5" s="805"/>
      <c r="P5" s="805"/>
      <c r="Q5" s="805"/>
      <c r="R5" s="805"/>
      <c r="S5" s="806" t="str">
        <f>IF(S8=AD_no,"",Score_design)</f>
        <v/>
      </c>
      <c r="T5" s="271"/>
      <c r="U5" s="932" t="s">
        <v>84</v>
      </c>
      <c r="V5" s="807"/>
      <c r="W5" s="807"/>
      <c r="X5" s="807"/>
      <c r="Y5" s="807"/>
      <c r="Z5" s="806" t="str">
        <f>IF(Z8=AD_no,"",Score_const)</f>
        <v/>
      </c>
      <c r="AA5" s="98"/>
      <c r="AB5" s="1314"/>
      <c r="AC5" s="107"/>
      <c r="AD5" s="274"/>
      <c r="AE5" s="274"/>
      <c r="AF5" s="274"/>
      <c r="AG5" s="274"/>
      <c r="AJ5" s="607"/>
      <c r="AK5" s="643" t="str">
        <f>ADPT04</f>
        <v>Major Refurbishment (shell and core)</v>
      </c>
    </row>
    <row r="6" spans="1:58" s="2" customFormat="1" ht="15" customHeight="1" x14ac:dyDescent="0.25">
      <c r="A6" s="1012"/>
      <c r="B6" s="1012"/>
      <c r="C6" s="1012"/>
      <c r="D6" s="736"/>
      <c r="E6" s="1151" t="str">
        <f>"Pre-Assessment Estimator Version: "&amp;TVC_current_version</f>
        <v>Pre-Assessment Estimator Version: 1.7</v>
      </c>
      <c r="F6" s="98"/>
      <c r="G6" s="109" t="s">
        <v>79</v>
      </c>
      <c r="H6" s="110"/>
      <c r="I6" s="1018"/>
      <c r="J6" s="1018"/>
      <c r="K6" s="111"/>
      <c r="L6" s="112" t="str">
        <f>Poeng!BE259</f>
        <v>Unclassified &lt;30%</v>
      </c>
      <c r="M6" s="740"/>
      <c r="N6" s="930" t="s">
        <v>79</v>
      </c>
      <c r="O6" s="805"/>
      <c r="P6" s="805"/>
      <c r="Q6" s="805"/>
      <c r="R6" s="805"/>
      <c r="S6" s="808" t="str">
        <f>IF(S8=AD_no,"",Poeng!BH259)</f>
        <v/>
      </c>
      <c r="T6" s="271"/>
      <c r="U6" s="932" t="s">
        <v>79</v>
      </c>
      <c r="V6" s="807"/>
      <c r="W6" s="807"/>
      <c r="X6" s="807"/>
      <c r="Y6" s="807"/>
      <c r="Z6" s="808" t="str">
        <f>IF(Z8=AD_no,"",Poeng!BK259)</f>
        <v/>
      </c>
      <c r="AA6" s="98"/>
      <c r="AB6" s="1314"/>
      <c r="AC6" s="107"/>
      <c r="AD6" s="274"/>
      <c r="AE6" s="274"/>
      <c r="AF6" s="274"/>
      <c r="AG6" s="274"/>
      <c r="AJ6" s="607" t="s">
        <v>408</v>
      </c>
      <c r="AK6" s="367"/>
      <c r="AL6" s="367"/>
      <c r="AM6" s="367"/>
      <c r="AN6" s="367"/>
      <c r="AO6" s="367"/>
      <c r="AP6" s="367"/>
      <c r="AQ6" s="23"/>
      <c r="AR6" s="23"/>
      <c r="AS6" s="23"/>
      <c r="AT6" s="23"/>
      <c r="AU6" s="23"/>
      <c r="AV6" s="23"/>
      <c r="AW6" s="23"/>
      <c r="AX6" s="23"/>
      <c r="AY6" s="23"/>
      <c r="AZ6" s="23"/>
      <c r="BA6" s="23"/>
      <c r="BB6" s="23"/>
      <c r="BC6" s="23"/>
      <c r="BD6" s="420"/>
      <c r="BE6" s="420"/>
      <c r="BF6" s="420"/>
    </row>
    <row r="7" spans="1:58" s="2" customFormat="1" ht="15" customHeight="1" thickBot="1" x14ac:dyDescent="0.3">
      <c r="A7" s="1012"/>
      <c r="B7" s="1012"/>
      <c r="C7" s="1012"/>
      <c r="D7" s="736"/>
      <c r="E7" s="108" t="str">
        <f>ADPT</f>
        <v>New Construction (fully fitted)</v>
      </c>
      <c r="F7" s="98"/>
      <c r="G7" s="1148" t="s">
        <v>977</v>
      </c>
      <c r="H7" s="1149"/>
      <c r="I7" s="1149"/>
      <c r="J7" s="1149"/>
      <c r="K7" s="1149"/>
      <c r="L7" s="1150" t="str">
        <f>Poeng!BR259</f>
        <v>No</v>
      </c>
      <c r="M7" s="740"/>
      <c r="N7" s="930" t="str">
        <f>G7</f>
        <v xml:space="preserve">Requirements for EU taxonomy </v>
      </c>
      <c r="O7" s="805"/>
      <c r="P7" s="805"/>
      <c r="Q7" s="805"/>
      <c r="R7" s="805"/>
      <c r="S7" s="808" t="str">
        <f>IF(S8=AD_no,"",Poeng!BS259)</f>
        <v/>
      </c>
      <c r="T7" s="271"/>
      <c r="U7" s="932" t="str">
        <f>G7</f>
        <v xml:space="preserve">Requirements for EU taxonomy </v>
      </c>
      <c r="V7" s="807"/>
      <c r="W7" s="807"/>
      <c r="X7" s="807"/>
      <c r="Y7" s="807"/>
      <c r="Z7" s="808" t="str">
        <f>IF(Z8=AD_no,"",Poeng!BT259)</f>
        <v/>
      </c>
      <c r="AA7" s="98"/>
      <c r="AB7" s="1314"/>
      <c r="AC7" s="107"/>
      <c r="AD7" s="274"/>
      <c r="AE7" s="274"/>
      <c r="AF7" s="274"/>
      <c r="AG7" s="274"/>
      <c r="AJ7" s="607"/>
      <c r="AK7" s="1043"/>
      <c r="AL7" s="1043"/>
      <c r="AM7" s="1043"/>
      <c r="AN7" s="1043"/>
      <c r="AO7" s="1043"/>
      <c r="AP7" s="1043"/>
      <c r="AQ7" s="23"/>
      <c r="AR7" s="23"/>
      <c r="AS7" s="23"/>
      <c r="AT7" s="23"/>
      <c r="AU7" s="23"/>
      <c r="AV7" s="23"/>
      <c r="AW7" s="23"/>
      <c r="AX7" s="23"/>
      <c r="AY7" s="23"/>
      <c r="AZ7" s="23"/>
      <c r="BA7" s="23"/>
      <c r="BB7" s="23"/>
      <c r="BC7" s="23"/>
      <c r="BD7" s="420"/>
      <c r="BE7" s="420"/>
      <c r="BF7" s="420"/>
    </row>
    <row r="8" spans="1:58" s="2" customFormat="1" ht="15" customHeight="1" x14ac:dyDescent="0.25">
      <c r="A8" s="19"/>
      <c r="B8" s="19"/>
      <c r="C8" s="19"/>
      <c r="D8" s="64"/>
      <c r="E8" s="1152" t="str">
        <f>IF(OR(Poeng!BF265=1,Poeng!BI265=1,Poeng!BL265=1),Poeng!AX270,"")</f>
        <v/>
      </c>
      <c r="F8" s="98"/>
      <c r="G8" s="113"/>
      <c r="H8" s="114"/>
      <c r="I8" s="115"/>
      <c r="J8" s="115"/>
      <c r="K8" s="115"/>
      <c r="L8" s="928"/>
      <c r="M8" s="740"/>
      <c r="N8" s="930" t="s">
        <v>301</v>
      </c>
      <c r="O8" s="805"/>
      <c r="P8" s="805"/>
      <c r="Q8" s="805"/>
      <c r="R8" s="805"/>
      <c r="S8" s="809" t="s">
        <v>13</v>
      </c>
      <c r="T8" s="271"/>
      <c r="U8" s="932" t="s">
        <v>301</v>
      </c>
      <c r="V8" s="807"/>
      <c r="W8" s="807"/>
      <c r="X8" s="807"/>
      <c r="Y8" s="807"/>
      <c r="Z8" s="809" t="s">
        <v>13</v>
      </c>
      <c r="AA8" s="98"/>
      <c r="AB8" s="1314"/>
      <c r="AC8" s="107"/>
      <c r="AD8" s="1308" t="s">
        <v>255</v>
      </c>
      <c r="AE8" s="1309"/>
      <c r="AF8" s="1309"/>
      <c r="AG8" s="274"/>
      <c r="AJ8" s="647" t="str">
        <f>IF(ADBT0=ADBT12,ais_nei,ais_ja)</f>
        <v>Ja</v>
      </c>
      <c r="AK8" s="644"/>
      <c r="AL8" s="644"/>
      <c r="AM8" s="644"/>
      <c r="AN8" s="650"/>
      <c r="AO8" s="650"/>
      <c r="AP8" s="650"/>
      <c r="AQ8" s="23"/>
      <c r="AR8" s="23"/>
      <c r="AS8" s="23"/>
      <c r="AT8" s="23"/>
      <c r="AU8" s="23"/>
      <c r="AV8" s="23"/>
      <c r="AW8" s="23"/>
      <c r="AX8" s="23"/>
      <c r="AY8" s="23"/>
      <c r="AZ8" s="23"/>
      <c r="BA8" s="23"/>
      <c r="BB8" s="23"/>
      <c r="BC8" s="23"/>
      <c r="BD8" s="37"/>
      <c r="BE8" s="37"/>
      <c r="BF8" s="37"/>
    </row>
    <row r="9" spans="1:58" ht="30" customHeight="1" x14ac:dyDescent="0.3">
      <c r="A9" s="737" t="s">
        <v>217</v>
      </c>
      <c r="B9" s="737" t="s">
        <v>218</v>
      </c>
      <c r="C9" s="737"/>
      <c r="D9" s="737"/>
      <c r="E9" s="1201" t="s">
        <v>1018</v>
      </c>
      <c r="F9" s="270" t="s">
        <v>100</v>
      </c>
      <c r="G9" s="116" t="s">
        <v>42</v>
      </c>
      <c r="H9" s="117" t="s">
        <v>825</v>
      </c>
      <c r="I9" s="118" t="s">
        <v>880</v>
      </c>
      <c r="J9" s="269" t="s">
        <v>299</v>
      </c>
      <c r="K9" s="283" t="s">
        <v>259</v>
      </c>
      <c r="L9" s="284" t="s">
        <v>260</v>
      </c>
      <c r="M9" s="740"/>
      <c r="N9" s="880" t="s">
        <v>42</v>
      </c>
      <c r="O9" s="879" t="s">
        <v>825</v>
      </c>
      <c r="P9" s="879" t="s">
        <v>880</v>
      </c>
      <c r="Q9" s="119" t="s">
        <v>299</v>
      </c>
      <c r="R9" s="119" t="s">
        <v>259</v>
      </c>
      <c r="S9" s="120" t="s">
        <v>260</v>
      </c>
      <c r="T9" s="121"/>
      <c r="U9" s="880" t="s">
        <v>42</v>
      </c>
      <c r="V9" s="879" t="s">
        <v>825</v>
      </c>
      <c r="W9" s="879" t="s">
        <v>880</v>
      </c>
      <c r="X9" s="119" t="s">
        <v>299</v>
      </c>
      <c r="Y9" s="119" t="s">
        <v>259</v>
      </c>
      <c r="Z9" s="120" t="s">
        <v>260</v>
      </c>
      <c r="AA9" s="107"/>
      <c r="AB9" s="698" t="str">
        <f>IF(AJ4=ais_ja,"Shell/core compliance?","")</f>
        <v/>
      </c>
      <c r="AC9" s="107"/>
      <c r="AD9" s="72" t="s">
        <v>256</v>
      </c>
      <c r="AE9" s="71" t="s">
        <v>257</v>
      </c>
      <c r="AF9" s="71" t="s">
        <v>258</v>
      </c>
      <c r="AI9" s="70" t="s">
        <v>426</v>
      </c>
      <c r="AY9" s="23"/>
      <c r="AZ9" s="23"/>
      <c r="BA9" s="23"/>
      <c r="BB9" s="23"/>
      <c r="BC9" s="23"/>
      <c r="BD9" s="18"/>
      <c r="BE9" s="18"/>
      <c r="BF9" s="18"/>
    </row>
    <row r="10" spans="1:58" ht="34.5" customHeight="1" x14ac:dyDescent="0.25">
      <c r="A10" s="1076">
        <v>1</v>
      </c>
      <c r="B10" s="1075" t="s">
        <v>61</v>
      </c>
      <c r="C10" s="1074"/>
      <c r="D10" s="823"/>
      <c r="E10" s="868" t="s">
        <v>11</v>
      </c>
      <c r="F10" s="869"/>
      <c r="G10" s="870"/>
      <c r="H10" s="869"/>
      <c r="I10" s="869"/>
      <c r="J10" s="871"/>
      <c r="K10" s="872"/>
      <c r="L10" s="873"/>
      <c r="M10" s="810"/>
      <c r="N10" s="811"/>
      <c r="O10" s="751"/>
      <c r="P10" s="751"/>
      <c r="Q10" s="812"/>
      <c r="R10" s="812"/>
      <c r="S10" s="743"/>
      <c r="T10" s="319"/>
      <c r="U10" s="333"/>
      <c r="V10" s="332"/>
      <c r="W10" s="332"/>
      <c r="X10" s="813"/>
      <c r="Y10" s="813"/>
      <c r="Z10" s="814"/>
      <c r="AA10" s="132"/>
      <c r="AB10" s="646"/>
      <c r="AC10" s="107">
        <f t="shared" ref="AC10:AC78" si="0">IF(F10="",1,IF(F10=0,2,1))</f>
        <v>1</v>
      </c>
      <c r="AD10" s="275">
        <v>0</v>
      </c>
      <c r="AE10" s="275">
        <v>0</v>
      </c>
      <c r="AF10" s="275">
        <v>0</v>
      </c>
      <c r="AI10" s="70"/>
      <c r="AJ10" s="670" t="s">
        <v>11</v>
      </c>
      <c r="AK10" s="645"/>
      <c r="AL10" s="645"/>
      <c r="AM10" s="645"/>
      <c r="AN10" s="645"/>
      <c r="AO10" s="645"/>
      <c r="AP10" s="645"/>
      <c r="AR10" s="645"/>
      <c r="AS10" s="645"/>
      <c r="AT10" s="645"/>
      <c r="AU10" s="645"/>
      <c r="AV10" s="649"/>
      <c r="AW10" s="649"/>
      <c r="AX10" s="649"/>
      <c r="AY10" s="23"/>
      <c r="AZ10" s="317"/>
      <c r="BA10" s="23"/>
      <c r="BB10" s="23"/>
      <c r="BC10" s="23"/>
      <c r="BD10" s="18"/>
      <c r="BE10" s="18"/>
      <c r="BF10" s="18"/>
    </row>
    <row r="11" spans="1:58" x14ac:dyDescent="0.25">
      <c r="A11" s="1076">
        <v>2</v>
      </c>
      <c r="B11" s="1075" t="s">
        <v>61</v>
      </c>
      <c r="C11" s="924" t="s">
        <v>91</v>
      </c>
      <c r="D11" s="824" t="s">
        <v>91</v>
      </c>
      <c r="E11" s="860" t="str">
        <f>VLOOKUP(D11,Poeng!$B$10:$R$252,Poeng!E$1,FALSE)</f>
        <v>Man 01 Project brief and design</v>
      </c>
      <c r="F11" s="865">
        <f>VLOOKUP(D11,Poeng!$B$10:$AB$252,Poeng!AB$1,FALSE)</f>
        <v>5</v>
      </c>
      <c r="G11" s="1000"/>
      <c r="H11" s="866" t="str">
        <f>VLOOKUP(D11,Poeng!$B$10:$AI$252,Poeng!AI$1,FALSE)&amp;" c. "&amp;ROUND(VLOOKUP(D11,Poeng!$B$10:$AE$252,Poeng!AE$1,FALSE)*100,1)&amp;" %"</f>
        <v>0 c. 0 %</v>
      </c>
      <c r="I11" s="923" t="str">
        <f>VLOOKUP(D11,Poeng!$B$10:$BE$252,Poeng!BE$1,FALSE)</f>
        <v>N/A</v>
      </c>
      <c r="J11" s="874"/>
      <c r="K11" s="875"/>
      <c r="L11" s="876"/>
      <c r="M11" s="815"/>
      <c r="N11" s="1001"/>
      <c r="O11" s="877" t="str">
        <f>VLOOKUP(D11,Poeng!$B$10:$BC$252,Poeng!AJ$1,FALSE)&amp;" c. "&amp;ROUND(VLOOKUP(D11,Poeng!$B$10:$BC$252,Poeng!AF$1,FALSE)*100,1)&amp;" %"</f>
        <v>0 c. 0 %</v>
      </c>
      <c r="P11" s="877" t="str">
        <f>VLOOKUP(D11,Poeng!$B$10:$BE$252,Poeng!BE$1,FALSE)</f>
        <v>N/A</v>
      </c>
      <c r="Q11" s="744"/>
      <c r="R11" s="745"/>
      <c r="S11" s="738"/>
      <c r="T11" s="319"/>
      <c r="U11" s="1001"/>
      <c r="V11" s="877" t="str">
        <f>VLOOKUP(D11,Poeng!$B$10:$BC$252,Poeng!AK$1,FALSE)&amp;" c. "&amp;ROUND(VLOOKUP(D11,Poeng!$B$10:$BC$252,Poeng!AG$1,FALSE)*100,1)&amp;" %"</f>
        <v>0 c. 0 %</v>
      </c>
      <c r="W11" s="877" t="str">
        <f>VLOOKUP(D11,Poeng!$B$10:$BK$252,Poeng!BK$1,FALSE)</f>
        <v>N/A</v>
      </c>
      <c r="X11" s="81"/>
      <c r="Y11" s="80"/>
      <c r="Z11" s="738"/>
      <c r="AA11" s="133"/>
      <c r="AB11" s="640" t="s">
        <v>13</v>
      </c>
      <c r="AC11" s="107">
        <f t="shared" si="0"/>
        <v>1</v>
      </c>
      <c r="AD11" s="3" t="e">
        <f>VLOOKUP(K11,'Assessment Details'!$O$45:$P$48,2,FALSE)</f>
        <v>#N/A</v>
      </c>
      <c r="AE11" s="3" t="e">
        <f>VLOOKUP(R11,'Assessment Details'!$O$45:$P$48,2,FALSE)</f>
        <v>#N/A</v>
      </c>
      <c r="AF11" s="3" t="e">
        <f>VLOOKUP(Y11,'Assessment Details'!$O$45:$P$48,2,FALSE)</f>
        <v>#N/A</v>
      </c>
      <c r="AI11" s="70"/>
      <c r="AJ11" s="670" t="s">
        <v>305</v>
      </c>
      <c r="AK11" s="648" t="s">
        <v>13</v>
      </c>
      <c r="AL11" s="652" t="s">
        <v>12</v>
      </c>
      <c r="AM11" s="70"/>
      <c r="AN11" s="70"/>
      <c r="AO11" s="70"/>
      <c r="AP11" s="70"/>
      <c r="AS11" s="23" t="str">
        <f>IF($AJ$4=ais_nei,AIS_NA,IF(AK11="",AIS_NA,AK11))</f>
        <v>N/A</v>
      </c>
      <c r="AT11" s="23" t="str">
        <f t="shared" ref="AT11:AT94" si="1">IF($AJ$4=ais_nei,AIS_NA,IF(AL11="",AIS_NA,AL11))</f>
        <v>N/A</v>
      </c>
      <c r="AU11" s="23" t="str">
        <f t="shared" ref="AU11:AU94" si="2">IF($AJ$4=ais_nei,AIS_NA,IF(AM11="",AIS_NA,AM11))</f>
        <v>N/A</v>
      </c>
      <c r="AV11" s="23"/>
      <c r="AW11" s="23"/>
      <c r="AX11" s="23"/>
      <c r="AY11" s="23"/>
      <c r="AZ11" s="640"/>
      <c r="BA11" s="23"/>
      <c r="BB11" s="23"/>
      <c r="BC11" s="23"/>
      <c r="BD11" s="18"/>
      <c r="BE11" s="18"/>
      <c r="BF11" s="18"/>
    </row>
    <row r="12" spans="1:58" x14ac:dyDescent="0.25">
      <c r="A12" s="1076">
        <v>3</v>
      </c>
      <c r="B12" s="1075" t="s">
        <v>61</v>
      </c>
      <c r="C12" s="1082" t="s">
        <v>91</v>
      </c>
      <c r="D12" s="19" t="s">
        <v>710</v>
      </c>
      <c r="E12" s="861" t="str">
        <f>VLOOKUP(D12,Poeng!$B$10:$R$252,Poeng!E$1,FALSE)</f>
        <v>Planning project delivery</v>
      </c>
      <c r="F12" s="122">
        <f>VLOOKUP(D12,Poeng!$B$10:$AB$252,Poeng!AB$1,FALSE)</f>
        <v>1</v>
      </c>
      <c r="G12" s="43"/>
      <c r="H12" s="123">
        <f>VLOOKUP(D12,Poeng!$B$10:$AE$252,Poeng!AE$1,FALSE)</f>
        <v>0</v>
      </c>
      <c r="I12" s="124" t="str">
        <f>VLOOKUP(D12,Poeng!$B$10:$BE$252,Poeng!BE$1,FALSE)</f>
        <v>Very Good</v>
      </c>
      <c r="J12" s="80"/>
      <c r="K12" s="281"/>
      <c r="L12" s="796"/>
      <c r="M12" s="1097"/>
      <c r="N12" s="83"/>
      <c r="O12" s="123">
        <f>VLOOKUP(D12,Poeng!$B$10:$BC$252,Poeng!AF$1,FALSE)</f>
        <v>0</v>
      </c>
      <c r="P12" s="123" t="str">
        <f>VLOOKUP(D12,Poeng!$B$10:$BH$252,Poeng!BH$1,FALSE)</f>
        <v>Very Good</v>
      </c>
      <c r="Q12" s="744"/>
      <c r="R12" s="745"/>
      <c r="S12" s="738"/>
      <c r="T12" s="319"/>
      <c r="U12" s="83"/>
      <c r="V12" s="123">
        <f>VLOOKUP(D12,Poeng!$B$10:$BC$252,Poeng!AG$1,FALSE)</f>
        <v>0</v>
      </c>
      <c r="W12" s="123" t="str">
        <f>VLOOKUP(D12,Poeng!$B$10:$BK$252,Poeng!BK$1,FALSE)</f>
        <v>Very Good</v>
      </c>
      <c r="X12" s="81"/>
      <c r="Y12" s="80"/>
      <c r="Z12" s="738"/>
      <c r="AC12" s="107">
        <f t="shared" si="0"/>
        <v>1</v>
      </c>
      <c r="AD12" s="3" t="e">
        <f>VLOOKUP(K12,'Assessment Details'!$O$45:$P$48,2,FALSE)</f>
        <v>#N/A</v>
      </c>
      <c r="AE12" s="3" t="e">
        <f>VLOOKUP(R12,'Assessment Details'!$O$45:$P$48,2,FALSE)</f>
        <v>#N/A</v>
      </c>
      <c r="AF12" s="3" t="e">
        <f>VLOOKUP(Y12,'Assessment Details'!$O$45:$P$48,2,FALSE)</f>
        <v>#N/A</v>
      </c>
    </row>
    <row r="13" spans="1:58" x14ac:dyDescent="0.25">
      <c r="A13" s="1076">
        <v>4</v>
      </c>
      <c r="B13" s="1075" t="s">
        <v>61</v>
      </c>
      <c r="C13" s="1082" t="s">
        <v>91</v>
      </c>
      <c r="D13" s="19" t="s">
        <v>711</v>
      </c>
      <c r="E13" s="1071" t="str">
        <f>VLOOKUP(D13,Poeng!$B$10:$R$252,Poeng!E$1,FALSE)</f>
        <v>Climate gas calculation for whole building life cycle</v>
      </c>
      <c r="F13" s="122">
        <f>VLOOKUP(D13,Poeng!$B$10:$AB$252,Poeng!AB$1,FALSE)</f>
        <v>1</v>
      </c>
      <c r="G13" s="43"/>
      <c r="H13" s="123">
        <f>VLOOKUP(D13,Poeng!$B$10:$AE$252,Poeng!AE$1,FALSE)</f>
        <v>0</v>
      </c>
      <c r="I13" s="124" t="str">
        <f>VLOOKUP(D13,Poeng!$B$10:$BE$252,Poeng!BE$1,FALSE)</f>
        <v>Very Good</v>
      </c>
      <c r="J13" s="80"/>
      <c r="K13" s="281"/>
      <c r="L13" s="796"/>
      <c r="M13" s="1097"/>
      <c r="N13" s="83"/>
      <c r="O13" s="123">
        <f>VLOOKUP(D13,Poeng!$B$10:$BC$252,Poeng!AF$1,FALSE)</f>
        <v>0</v>
      </c>
      <c r="P13" s="123" t="str">
        <f>VLOOKUP(D13,Poeng!$B$10:$BH$252,Poeng!BH$1,FALSE)</f>
        <v>Very Good</v>
      </c>
      <c r="Q13" s="744"/>
      <c r="R13" s="745"/>
      <c r="S13" s="738"/>
      <c r="T13" s="319"/>
      <c r="U13" s="83"/>
      <c r="V13" s="123">
        <f>VLOOKUP(D13,Poeng!$B$10:$BC$252,Poeng!AG$1,FALSE)</f>
        <v>0</v>
      </c>
      <c r="W13" s="123" t="str">
        <f>VLOOKUP(D13,Poeng!$B$10:$BK$252,Poeng!BK$1,FALSE)</f>
        <v>Very Good</v>
      </c>
      <c r="X13" s="81"/>
      <c r="Y13" s="80"/>
      <c r="Z13" s="738"/>
      <c r="AC13" s="107">
        <f t="shared" si="0"/>
        <v>1</v>
      </c>
      <c r="AD13" s="3" t="e">
        <f>VLOOKUP(K13,'Assessment Details'!$O$45:$P$48,2,FALSE)</f>
        <v>#N/A</v>
      </c>
      <c r="AE13" s="3" t="e">
        <f>VLOOKUP(R13,'Assessment Details'!$O$45:$P$48,2,FALSE)</f>
        <v>#N/A</v>
      </c>
      <c r="AF13" s="3" t="e">
        <f>VLOOKUP(Y13,'Assessment Details'!$O$45:$P$48,2,FALSE)</f>
        <v>#N/A</v>
      </c>
    </row>
    <row r="14" spans="1:58" x14ac:dyDescent="0.25">
      <c r="A14" s="1076">
        <v>5</v>
      </c>
      <c r="B14" s="1075" t="s">
        <v>61</v>
      </c>
      <c r="C14" s="1082" t="s">
        <v>91</v>
      </c>
      <c r="D14" s="19" t="s">
        <v>1144</v>
      </c>
      <c r="E14" s="1071" t="str">
        <f>VLOOKUP(D14,Poeng!$B$10:$R$257,Poeng!E$1,FALSE)</f>
        <v>EU taxonomy requirements: criterion 3</v>
      </c>
      <c r="F14" s="122" t="str">
        <f>VLOOKUP(D14,Poeng!$B$10:$AB$257,Poeng!AB$1,FALSE)</f>
        <v>Yes/No</v>
      </c>
      <c r="G14" s="43"/>
      <c r="H14" s="123" t="str">
        <f>VLOOKUP(D14,Poeng!$B$10:$AE$257,Poeng!AE$1,FALSE)</f>
        <v>-</v>
      </c>
      <c r="I14" s="124" t="str">
        <f>VLOOKUP(D14,Poeng!$B$10:$BE$257,Poeng!BE$1,FALSE)</f>
        <v>N/A</v>
      </c>
      <c r="J14" s="80"/>
      <c r="K14" s="281" t="s">
        <v>0</v>
      </c>
      <c r="L14" s="796"/>
      <c r="M14" s="1097"/>
      <c r="N14" s="83"/>
      <c r="O14" s="123" t="str">
        <f>VLOOKUP(D14,Poeng!$B$10:$BC$257,Poeng!AF$1,FALSE)</f>
        <v>-</v>
      </c>
      <c r="P14" s="123" t="str">
        <f>VLOOKUP(D14,Poeng!$B$10:$BH$257,Poeng!BH$1,FALSE)</f>
        <v>N/A</v>
      </c>
      <c r="Q14" s="744"/>
      <c r="R14" s="745"/>
      <c r="S14" s="738"/>
      <c r="T14" s="319"/>
      <c r="U14" s="83"/>
      <c r="V14" s="123" t="str">
        <f>VLOOKUP(D14,Poeng!$B$10:$BC$257,Poeng!AG$1,FALSE)</f>
        <v>-</v>
      </c>
      <c r="W14" s="123" t="str">
        <f>VLOOKUP(D14,Poeng!$B$10:$BK$257,Poeng!BK$1,FALSE)</f>
        <v>N/A</v>
      </c>
      <c r="X14" s="81"/>
      <c r="Y14" s="80"/>
      <c r="Z14" s="738"/>
      <c r="AC14" s="107">
        <f t="shared" si="0"/>
        <v>1</v>
      </c>
      <c r="AD14" s="3">
        <f>VLOOKUP(K14,'Assessment Details'!$O$45:$P$48,2,FALSE)</f>
        <v>4</v>
      </c>
      <c r="AE14" s="3" t="e">
        <f>VLOOKUP(R14,'Assessment Details'!$O$45:$P$48,2,FALSE)</f>
        <v>#N/A</v>
      </c>
      <c r="AF14" s="3" t="e">
        <f>VLOOKUP(Y14,'Assessment Details'!$O$45:$P$48,2,FALSE)</f>
        <v>#N/A</v>
      </c>
    </row>
    <row r="15" spans="1:58" x14ac:dyDescent="0.25">
      <c r="A15" s="1076">
        <v>6</v>
      </c>
      <c r="B15" s="1075" t="s">
        <v>61</v>
      </c>
      <c r="C15" s="1082" t="s">
        <v>91</v>
      </c>
      <c r="D15" s="19" t="s">
        <v>712</v>
      </c>
      <c r="E15" s="861" t="str">
        <f>VLOOKUP(D15,Poeng!$B$10:$R$252,Poeng!E$1,FALSE)</f>
        <v>Third party stakeholder consultation</v>
      </c>
      <c r="F15" s="122">
        <f>VLOOKUP(D15,Poeng!$B$10:$AB$252,Poeng!AB$1,FALSE)</f>
        <v>1</v>
      </c>
      <c r="G15" s="43"/>
      <c r="H15" s="123">
        <f>VLOOKUP(D15,Poeng!$B$10:$AE$252,Poeng!AE$1,FALSE)</f>
        <v>0</v>
      </c>
      <c r="I15" s="124" t="str">
        <f>VLOOKUP(D15,Poeng!$B$10:$BE$252,Poeng!BE$1,FALSE)</f>
        <v>N/A</v>
      </c>
      <c r="J15" s="80"/>
      <c r="K15" s="281"/>
      <c r="L15" s="738"/>
      <c r="M15" s="1097"/>
      <c r="N15" s="83"/>
      <c r="O15" s="123">
        <f>VLOOKUP(D15,Poeng!$B$10:$BC$252,Poeng!AF$1,FALSE)</f>
        <v>0</v>
      </c>
      <c r="P15" s="123" t="str">
        <f>VLOOKUP(D15,Poeng!$B$10:$BH$252,Poeng!BH$1,FALSE)</f>
        <v>N/A</v>
      </c>
      <c r="Q15" s="744"/>
      <c r="R15" s="745"/>
      <c r="S15" s="738"/>
      <c r="T15" s="319"/>
      <c r="U15" s="83"/>
      <c r="V15" s="123">
        <f>VLOOKUP(D15,Poeng!$B$10:$BC$252,Poeng!AG$1,FALSE)</f>
        <v>0</v>
      </c>
      <c r="W15" s="123" t="str">
        <f>VLOOKUP(D15,Poeng!$B$10:$BK$252,Poeng!BK$1,FALSE)</f>
        <v>N/A</v>
      </c>
      <c r="X15" s="81"/>
      <c r="Y15" s="80" t="s">
        <v>0</v>
      </c>
      <c r="Z15" s="738"/>
      <c r="AC15" s="107">
        <f t="shared" si="0"/>
        <v>1</v>
      </c>
      <c r="AD15" s="3" t="e">
        <f>VLOOKUP(K15,'Assessment Details'!$O$45:$P$48,2,FALSE)</f>
        <v>#N/A</v>
      </c>
      <c r="AE15" s="3" t="e">
        <f>VLOOKUP(R15,'Assessment Details'!$O$45:$P$48,2,FALSE)</f>
        <v>#N/A</v>
      </c>
      <c r="AF15" s="3">
        <f>VLOOKUP(Y15,'Assessment Details'!$O$45:$P$48,2,FALSE)</f>
        <v>4</v>
      </c>
    </row>
    <row r="16" spans="1:58" x14ac:dyDescent="0.25">
      <c r="A16" s="1076">
        <v>7</v>
      </c>
      <c r="B16" s="1075" t="s">
        <v>61</v>
      </c>
      <c r="C16" s="1082" t="s">
        <v>91</v>
      </c>
      <c r="D16" s="19" t="s">
        <v>713</v>
      </c>
      <c r="E16" s="861" t="str">
        <f>VLOOKUP(D16,Poeng!$B$10:$R$252,Poeng!E$1,FALSE)</f>
        <v>BREEAM-NOR AP (stage 2 and 3)</v>
      </c>
      <c r="F16" s="122">
        <f>VLOOKUP(D16,Poeng!$B$10:$AB$252,Poeng!AB$1,FALSE)</f>
        <v>1</v>
      </c>
      <c r="G16" s="43"/>
      <c r="H16" s="123">
        <f>VLOOKUP(D16,Poeng!$B$10:$AE$252,Poeng!AE$1,FALSE)</f>
        <v>0</v>
      </c>
      <c r="I16" s="124" t="str">
        <f>VLOOKUP(D16,Poeng!$B$10:$BE$252,Poeng!BE$1,FALSE)</f>
        <v>N/A</v>
      </c>
      <c r="J16" s="80"/>
      <c r="K16" s="281"/>
      <c r="L16" s="796"/>
      <c r="M16" s="1097"/>
      <c r="N16" s="83"/>
      <c r="O16" s="123">
        <f>VLOOKUP(D16,Poeng!$B$10:$BC$252,Poeng!AF$1,FALSE)</f>
        <v>0</v>
      </c>
      <c r="P16" s="123" t="str">
        <f>VLOOKUP(D16,Poeng!$B$10:$BH$252,Poeng!BH$1,FALSE)</f>
        <v>N/A</v>
      </c>
      <c r="Q16" s="744"/>
      <c r="R16" s="745"/>
      <c r="S16" s="738"/>
      <c r="T16" s="319"/>
      <c r="U16" s="83"/>
      <c r="V16" s="123">
        <f>VLOOKUP(D16,Poeng!$B$10:$BC$252,Poeng!AG$1,FALSE)</f>
        <v>0</v>
      </c>
      <c r="W16" s="123" t="str">
        <f>VLOOKUP(D16,Poeng!$B$10:$BK$252,Poeng!BK$1,FALSE)</f>
        <v>N/A</v>
      </c>
      <c r="X16" s="81"/>
      <c r="Y16" s="80"/>
      <c r="Z16" s="738"/>
      <c r="AC16" s="107">
        <f t="shared" si="0"/>
        <v>1</v>
      </c>
      <c r="AD16" s="3" t="e">
        <f>VLOOKUP(K16,'Assessment Details'!$O$45:$P$48,2,FALSE)</f>
        <v>#N/A</v>
      </c>
      <c r="AE16" s="3" t="e">
        <f>VLOOKUP(R16,'Assessment Details'!$O$45:$P$48,2,FALSE)</f>
        <v>#N/A</v>
      </c>
      <c r="AF16" s="3" t="e">
        <f>VLOOKUP(Y16,'Assessment Details'!$O$45:$P$48,2,FALSE)</f>
        <v>#N/A</v>
      </c>
    </row>
    <row r="17" spans="1:58" x14ac:dyDescent="0.25">
      <c r="A17" s="1076">
        <v>8</v>
      </c>
      <c r="B17" s="1075" t="s">
        <v>61</v>
      </c>
      <c r="C17" s="1082" t="s">
        <v>91</v>
      </c>
      <c r="D17" s="19" t="s">
        <v>714</v>
      </c>
      <c r="E17" s="861" t="str">
        <f>VLOOKUP(D17,Poeng!$B$10:$R$252,Poeng!E$1,FALSE)</f>
        <v>BREEAM-NOR AP (stage 4)</v>
      </c>
      <c r="F17" s="122">
        <f>VLOOKUP(D17,Poeng!$B$10:$AB$252,Poeng!AB$1,FALSE)</f>
        <v>1</v>
      </c>
      <c r="G17" s="43"/>
      <c r="H17" s="123">
        <f>VLOOKUP(D17,Poeng!$B$10:$AE$252,Poeng!AE$1,FALSE)</f>
        <v>0</v>
      </c>
      <c r="I17" s="124" t="str">
        <f>VLOOKUP(D17,Poeng!$B$10:$BE$252,Poeng!BE$1,FALSE)</f>
        <v>N/A</v>
      </c>
      <c r="J17" s="80"/>
      <c r="K17" s="281"/>
      <c r="L17" s="796"/>
      <c r="M17" s="1097"/>
      <c r="N17" s="83"/>
      <c r="O17" s="123">
        <f>VLOOKUP(D17,Poeng!$B$10:$BC$252,Poeng!AF$1,FALSE)</f>
        <v>0</v>
      </c>
      <c r="P17" s="123" t="str">
        <f>VLOOKUP(D17,Poeng!$B$10:$BH$252,Poeng!BH$1,FALSE)</f>
        <v>N/A</v>
      </c>
      <c r="Q17" s="744"/>
      <c r="R17" s="745"/>
      <c r="S17" s="738"/>
      <c r="T17" s="319"/>
      <c r="U17" s="83"/>
      <c r="V17" s="123">
        <f>VLOOKUP(D17,Poeng!$B$10:$BC$252,Poeng!AG$1,FALSE)</f>
        <v>0</v>
      </c>
      <c r="W17" s="123" t="str">
        <f>VLOOKUP(D17,Poeng!$B$10:$BK$252,Poeng!BK$1,FALSE)</f>
        <v>N/A</v>
      </c>
      <c r="X17" s="81"/>
      <c r="Y17" s="80"/>
      <c r="Z17" s="738"/>
      <c r="AC17" s="107">
        <f t="shared" si="0"/>
        <v>1</v>
      </c>
      <c r="AD17" s="3" t="e">
        <f>VLOOKUP(K17,'Assessment Details'!$O$45:$P$48,2,FALSE)</f>
        <v>#N/A</v>
      </c>
      <c r="AE17" s="3" t="e">
        <f>VLOOKUP(R17,'Assessment Details'!$O$45:$P$48,2,FALSE)</f>
        <v>#N/A</v>
      </c>
      <c r="AF17" s="3" t="e">
        <f>VLOOKUP(Y17,'Assessment Details'!$O$45:$P$48,2,FALSE)</f>
        <v>#N/A</v>
      </c>
    </row>
    <row r="18" spans="1:58" x14ac:dyDescent="0.25">
      <c r="A18" s="1076">
        <v>9</v>
      </c>
      <c r="B18" s="1075" t="s">
        <v>61</v>
      </c>
      <c r="C18" s="924" t="s">
        <v>92</v>
      </c>
      <c r="D18" s="824" t="s">
        <v>92</v>
      </c>
      <c r="E18" s="860" t="str">
        <f>VLOOKUP(D18,Poeng!$B$10:$R$252,Poeng!E$1,FALSE)</f>
        <v>Man 02 Life cycle cost and service life planning</v>
      </c>
      <c r="F18" s="865">
        <f>VLOOKUP(D18,Poeng!$B$10:$AB$252,Poeng!AB$1,FALSE)</f>
        <v>3</v>
      </c>
      <c r="G18" s="1001"/>
      <c r="H18" s="866" t="str">
        <f>VLOOKUP(D18,Poeng!$B$10:$AI$252,Poeng!AI$1,FALSE)&amp;" c. "&amp;ROUND(VLOOKUP(D18,Poeng!$B$10:$AE$252,Poeng!AE$1,FALSE)*100,1)&amp;" %"</f>
        <v>0 c. 0 %</v>
      </c>
      <c r="I18" s="924" t="str">
        <f>VLOOKUP(D18,Poeng!$B$10:$BE$252,Poeng!BE$1,FALSE)</f>
        <v>N/A</v>
      </c>
      <c r="J18" s="80"/>
      <c r="K18" s="281"/>
      <c r="L18" s="796"/>
      <c r="M18" s="816"/>
      <c r="N18" s="1001"/>
      <c r="O18" s="877" t="str">
        <f>VLOOKUP(D18,Poeng!$B$10:$BC$252,Poeng!AJ$1,FALSE)&amp;" c. "&amp;ROUND(VLOOKUP(D18,Poeng!$B$10:$BC$252,Poeng!AF$1,FALSE)*100,1)&amp;" %"</f>
        <v>0 c. 0 %</v>
      </c>
      <c r="P18" s="123" t="str">
        <f>VLOOKUP(D18,Poeng!$B$10:$BH$252,Poeng!BH$1,FALSE)</f>
        <v>N/A</v>
      </c>
      <c r="Q18" s="744"/>
      <c r="R18" s="745"/>
      <c r="S18" s="738"/>
      <c r="T18" s="319"/>
      <c r="U18" s="1001"/>
      <c r="V18" s="877" t="str">
        <f>VLOOKUP(D18,Poeng!$B$10:$BC$252,Poeng!AK$1,FALSE)&amp;" c. "&amp;ROUND(VLOOKUP(D18,Poeng!$B$10:$BC$252,Poeng!AG$1,FALSE)*100,1)&amp;" %"</f>
        <v>0 c. 0 %</v>
      </c>
      <c r="W18" s="123" t="str">
        <f>VLOOKUP(D18,Poeng!$B$10:$BK$252,Poeng!BK$1,FALSE)</f>
        <v>N/A</v>
      </c>
      <c r="X18" s="81"/>
      <c r="Y18" s="80"/>
      <c r="Z18" s="738"/>
      <c r="AA18" s="133"/>
      <c r="AB18" s="640" t="s">
        <v>13</v>
      </c>
      <c r="AC18" s="107">
        <f t="shared" si="0"/>
        <v>1</v>
      </c>
      <c r="AD18" s="3" t="e">
        <f>VLOOKUP(K18,'Assessment Details'!$O$45:$P$48,2,FALSE)</f>
        <v>#N/A</v>
      </c>
      <c r="AE18" s="3" t="e">
        <f>VLOOKUP(R18,'Assessment Details'!$O$45:$P$48,2,FALSE)</f>
        <v>#N/A</v>
      </c>
      <c r="AF18" s="3" t="e">
        <f>VLOOKUP(Y18,'Assessment Details'!$O$45:$P$48,2,FALSE)</f>
        <v>#N/A</v>
      </c>
      <c r="AI18" s="70"/>
      <c r="AJ18" s="670" t="s">
        <v>306</v>
      </c>
      <c r="AK18" s="648" t="s">
        <v>13</v>
      </c>
      <c r="AL18" s="652" t="s">
        <v>12</v>
      </c>
      <c r="AM18" s="70"/>
      <c r="AN18" s="70"/>
      <c r="AO18" s="70"/>
      <c r="AP18" s="70"/>
      <c r="AS18" s="23" t="str">
        <f t="shared" ref="AS18:AS94" si="3">IF($AJ$4=ais_nei,AIS_NA,IF(AK18="",AIS_NA,AK18))</f>
        <v>N/A</v>
      </c>
      <c r="AT18" s="23" t="str">
        <f t="shared" si="1"/>
        <v>N/A</v>
      </c>
      <c r="AU18" s="23" t="str">
        <f t="shared" si="2"/>
        <v>N/A</v>
      </c>
      <c r="AV18" s="23"/>
      <c r="AW18" s="23"/>
      <c r="AX18" s="23"/>
      <c r="AY18" s="18"/>
      <c r="AZ18" s="640"/>
      <c r="BA18" s="18"/>
      <c r="BB18" s="18"/>
      <c r="BC18" s="18"/>
      <c r="BD18" s="18"/>
      <c r="BE18" s="18"/>
      <c r="BF18" s="18"/>
    </row>
    <row r="19" spans="1:58" x14ac:dyDescent="0.25">
      <c r="A19" s="1076">
        <v>10</v>
      </c>
      <c r="B19" s="1075" t="s">
        <v>61</v>
      </c>
      <c r="C19" s="1082" t="s">
        <v>92</v>
      </c>
      <c r="D19" s="824" t="s">
        <v>715</v>
      </c>
      <c r="E19" s="861" t="str">
        <f>VLOOKUP(D19,Poeng!$B$10:$R$252,Poeng!E$1,FALSE)</f>
        <v>Elemental life cycle cost (LCC) and capital cost reporting</v>
      </c>
      <c r="F19" s="122">
        <f>VLOOKUP(D19,Poeng!$B$10:$AB$252,Poeng!AB$1,FALSE)</f>
        <v>2</v>
      </c>
      <c r="G19" s="43"/>
      <c r="H19" s="123">
        <f>VLOOKUP(D19,Poeng!$B$10:$AE$252,Poeng!AE$1,FALSE)</f>
        <v>0</v>
      </c>
      <c r="I19" s="124" t="str">
        <f>VLOOKUP(D19,Poeng!$B$10:$BE$252,Poeng!BE$1,FALSE)</f>
        <v>N/A</v>
      </c>
      <c r="J19" s="80"/>
      <c r="K19" s="281"/>
      <c r="L19" s="796"/>
      <c r="M19" s="816"/>
      <c r="N19" s="83"/>
      <c r="O19" s="123">
        <f>VLOOKUP(D19,Poeng!$B$10:$BC$252,Poeng!AF$1,FALSE)</f>
        <v>0</v>
      </c>
      <c r="P19" s="123" t="str">
        <f>VLOOKUP(D19,Poeng!$B$10:$BH$252,Poeng!BH$1,FALSE)</f>
        <v>N/A</v>
      </c>
      <c r="Q19" s="744"/>
      <c r="R19" s="745"/>
      <c r="S19" s="738"/>
      <c r="T19" s="319"/>
      <c r="U19" s="83"/>
      <c r="V19" s="123">
        <f>VLOOKUP(D19,Poeng!$B$10:$BC$252,Poeng!AG$1,FALSE)</f>
        <v>0</v>
      </c>
      <c r="W19" s="123" t="str">
        <f>VLOOKUP(D19,Poeng!$B$10:$BK$252,Poeng!BK$1,FALSE)</f>
        <v>N/A</v>
      </c>
      <c r="X19" s="81"/>
      <c r="Y19" s="80"/>
      <c r="Z19" s="738"/>
      <c r="AA19" s="133"/>
      <c r="AB19" s="640"/>
      <c r="AC19" s="107">
        <f t="shared" si="0"/>
        <v>1</v>
      </c>
      <c r="AD19" s="3" t="e">
        <f>VLOOKUP(K19,'Assessment Details'!$O$45:$P$48,2,FALSE)</f>
        <v>#N/A</v>
      </c>
      <c r="AE19" s="3" t="e">
        <f>VLOOKUP(R19,'Assessment Details'!$O$45:$P$48,2,FALSE)</f>
        <v>#N/A</v>
      </c>
      <c r="AF19" s="3" t="e">
        <f>VLOOKUP(Y19,'Assessment Details'!$O$45:$P$48,2,FALSE)</f>
        <v>#N/A</v>
      </c>
      <c r="AI19" s="70"/>
      <c r="AJ19" s="670"/>
      <c r="AK19" s="648"/>
      <c r="AL19" s="652"/>
      <c r="AM19" s="70"/>
      <c r="AN19" s="70"/>
      <c r="AO19" s="70"/>
      <c r="AP19" s="70"/>
      <c r="AS19" s="23"/>
      <c r="AT19" s="23"/>
      <c r="AU19" s="23"/>
      <c r="AV19" s="23"/>
      <c r="AW19" s="23"/>
      <c r="AX19" s="23"/>
      <c r="AY19" s="18"/>
      <c r="AZ19" s="640"/>
      <c r="BA19" s="18"/>
      <c r="BB19" s="18"/>
      <c r="BC19" s="18"/>
      <c r="BD19" s="18"/>
      <c r="BE19" s="18"/>
      <c r="BF19" s="18"/>
    </row>
    <row r="20" spans="1:58" x14ac:dyDescent="0.25">
      <c r="A20" s="1076">
        <v>11</v>
      </c>
      <c r="B20" s="1075" t="s">
        <v>61</v>
      </c>
      <c r="C20" s="1082" t="s">
        <v>92</v>
      </c>
      <c r="D20" s="824" t="s">
        <v>716</v>
      </c>
      <c r="E20" s="861" t="str">
        <f>VLOOKUP(D20,Poeng!$B$10:$R$252,Poeng!E$1,FALSE)</f>
        <v>Component level life option appraisal</v>
      </c>
      <c r="F20" s="122">
        <f>VLOOKUP(D20,Poeng!$B$10:$AB$252,Poeng!AB$1,FALSE)</f>
        <v>1</v>
      </c>
      <c r="G20" s="43"/>
      <c r="H20" s="123">
        <f>VLOOKUP(D20,Poeng!$B$10:$AE$252,Poeng!AE$1,FALSE)</f>
        <v>0</v>
      </c>
      <c r="I20" s="124" t="str">
        <f>VLOOKUP(D20,Poeng!$B$10:$BE$252,Poeng!BE$1,FALSE)</f>
        <v>N/A</v>
      </c>
      <c r="J20" s="80"/>
      <c r="K20" s="281"/>
      <c r="L20" s="796"/>
      <c r="M20" s="816"/>
      <c r="N20" s="83"/>
      <c r="O20" s="123">
        <f>VLOOKUP(D20,Poeng!$B$10:$BC$252,Poeng!AF$1,FALSE)</f>
        <v>0</v>
      </c>
      <c r="P20" s="123" t="str">
        <f>VLOOKUP(D20,Poeng!$B$10:$BH$252,Poeng!BH$1,FALSE)</f>
        <v>N/A</v>
      </c>
      <c r="Q20" s="744"/>
      <c r="R20" s="745"/>
      <c r="S20" s="738"/>
      <c r="T20" s="319"/>
      <c r="U20" s="83"/>
      <c r="V20" s="123">
        <f>VLOOKUP(D20,Poeng!$B$10:$BC$252,Poeng!AG$1,FALSE)</f>
        <v>0</v>
      </c>
      <c r="W20" s="123" t="str">
        <f>VLOOKUP(D20,Poeng!$B$10:$BK$252,Poeng!BK$1,FALSE)</f>
        <v>N/A</v>
      </c>
      <c r="X20" s="81"/>
      <c r="Y20" s="80"/>
      <c r="Z20" s="738"/>
      <c r="AA20" s="133"/>
      <c r="AB20" s="640"/>
      <c r="AC20" s="107">
        <f t="shared" si="0"/>
        <v>1</v>
      </c>
      <c r="AD20" s="3" t="e">
        <f>VLOOKUP(K20,'Assessment Details'!$O$45:$P$48,2,FALSE)</f>
        <v>#N/A</v>
      </c>
      <c r="AE20" s="3" t="e">
        <f>VLOOKUP(R20,'Assessment Details'!$O$45:$P$48,2,FALSE)</f>
        <v>#N/A</v>
      </c>
      <c r="AF20" s="3" t="e">
        <f>VLOOKUP(Y20,'Assessment Details'!$O$45:$P$48,2,FALSE)</f>
        <v>#N/A</v>
      </c>
      <c r="AI20" s="70"/>
      <c r="AJ20" s="670"/>
      <c r="AK20" s="648"/>
      <c r="AL20" s="652"/>
      <c r="AM20" s="70"/>
      <c r="AN20" s="70"/>
      <c r="AO20" s="70"/>
      <c r="AP20" s="70"/>
      <c r="AS20" s="23"/>
      <c r="AT20" s="23"/>
      <c r="AU20" s="23"/>
      <c r="AV20" s="23"/>
      <c r="AW20" s="23"/>
      <c r="AX20" s="23"/>
      <c r="AY20" s="18"/>
      <c r="AZ20" s="640"/>
      <c r="BA20" s="18"/>
      <c r="BB20" s="18"/>
      <c r="BC20" s="18"/>
      <c r="BD20" s="18"/>
      <c r="BE20" s="18"/>
      <c r="BF20" s="18"/>
    </row>
    <row r="21" spans="1:58" x14ac:dyDescent="0.25">
      <c r="A21" s="1076">
        <v>12</v>
      </c>
      <c r="B21" s="1075" t="s">
        <v>61</v>
      </c>
      <c r="C21" s="924" t="s">
        <v>93</v>
      </c>
      <c r="D21" s="824" t="s">
        <v>93</v>
      </c>
      <c r="E21" s="860" t="str">
        <f>VLOOKUP(D21,Poeng!$B$10:$R$252,Poeng!E$1,FALSE)</f>
        <v>Man 03 Responsible construction practices</v>
      </c>
      <c r="F21" s="865">
        <f>VLOOKUP(D21,Poeng!$B$10:$AB$252,Poeng!AB$1,FALSE)</f>
        <v>7</v>
      </c>
      <c r="G21" s="1001"/>
      <c r="H21" s="866" t="str">
        <f>VLOOKUP(D21,Poeng!$B$10:$AI$252,Poeng!AI$1,FALSE)&amp;" c. "&amp;ROUND(VLOOKUP(D21,Poeng!$B$10:$AE$252,Poeng!AE$1,FALSE)*100,1)&amp;" %"</f>
        <v>0 c. 0 %</v>
      </c>
      <c r="I21" s="924" t="str">
        <f>VLOOKUP(D21,Poeng!$B$10:$BE$252,Poeng!BE$1,FALSE)</f>
        <v>N/A</v>
      </c>
      <c r="J21" s="80"/>
      <c r="K21" s="281"/>
      <c r="L21" s="796"/>
      <c r="M21" s="815"/>
      <c r="N21" s="1001"/>
      <c r="O21" s="877" t="str">
        <f>VLOOKUP(D21,Poeng!$B$10:$BC$252,Poeng!AJ$1,FALSE)&amp;" c. "&amp;ROUND(VLOOKUP(D21,Poeng!$B$10:$BC$252,Poeng!AF$1,FALSE)*100,1)&amp;" %"</f>
        <v>0 c. 0 %</v>
      </c>
      <c r="P21" s="123" t="str">
        <f>VLOOKUP(D21,Poeng!$B$10:$BH$252,Poeng!BH$1,FALSE)</f>
        <v>N/A</v>
      </c>
      <c r="Q21" s="744"/>
      <c r="R21" s="745"/>
      <c r="S21" s="738"/>
      <c r="T21" s="319"/>
      <c r="U21" s="1001"/>
      <c r="V21" s="877" t="str">
        <f>VLOOKUP(D21,Poeng!$B$10:$BC$252,Poeng!AK$1,FALSE)&amp;" c. "&amp;ROUND(VLOOKUP(D21,Poeng!$B$10:$BC$252,Poeng!AG$1,FALSE)*100,1)&amp;" %"</f>
        <v>0 c. 0 %</v>
      </c>
      <c r="W21" s="123" t="str">
        <f>VLOOKUP(D21,Poeng!$B$10:$BK$252,Poeng!BK$1,FALSE)</f>
        <v>N/A</v>
      </c>
      <c r="X21" s="81"/>
      <c r="Y21" s="80"/>
      <c r="Z21" s="738"/>
      <c r="AA21" s="133"/>
      <c r="AB21" s="640" t="s">
        <v>14</v>
      </c>
      <c r="AC21" s="107">
        <f t="shared" si="0"/>
        <v>1</v>
      </c>
      <c r="AD21" s="3" t="e">
        <f>VLOOKUP(K21,'Assessment Details'!$O$45:$P$48,2,FALSE)</f>
        <v>#N/A</v>
      </c>
      <c r="AE21" s="3" t="e">
        <f>VLOOKUP(R21,'Assessment Details'!$O$45:$P$48,2,FALSE)</f>
        <v>#N/A</v>
      </c>
      <c r="AF21" s="3" t="e">
        <f>VLOOKUP(Y21,'Assessment Details'!$O$45:$P$48,2,FALSE)</f>
        <v>#N/A</v>
      </c>
      <c r="AI21" s="70"/>
      <c r="AJ21" s="670" t="s">
        <v>307</v>
      </c>
      <c r="AK21" s="70"/>
      <c r="AL21" s="70"/>
      <c r="AM21" s="70"/>
      <c r="AN21" s="70"/>
      <c r="AO21" s="70"/>
      <c r="AP21" s="70"/>
      <c r="AS21" s="23" t="str">
        <f t="shared" si="3"/>
        <v>N/A</v>
      </c>
      <c r="AT21" s="23" t="str">
        <f t="shared" si="1"/>
        <v>N/A</v>
      </c>
      <c r="AU21" s="23" t="str">
        <f t="shared" si="2"/>
        <v>N/A</v>
      </c>
      <c r="AV21" s="23"/>
      <c r="AW21" s="23"/>
      <c r="AX21" s="23"/>
      <c r="AY21" s="18"/>
      <c r="AZ21" s="640"/>
      <c r="BA21" s="18"/>
      <c r="BB21" s="18"/>
      <c r="BC21" s="18"/>
      <c r="BD21" s="18"/>
      <c r="BE21" s="18"/>
      <c r="BF21" s="18"/>
    </row>
    <row r="22" spans="1:58" x14ac:dyDescent="0.25">
      <c r="A22" s="1076">
        <v>13</v>
      </c>
      <c r="B22" s="1075" t="s">
        <v>61</v>
      </c>
      <c r="C22" s="1082" t="s">
        <v>93</v>
      </c>
      <c r="D22" s="19" t="s">
        <v>717</v>
      </c>
      <c r="E22" s="861" t="str">
        <f>VLOOKUP(D22,Poeng!$B$10:$R$252,Poeng!E$1,FALSE)</f>
        <v>Environmental managment</v>
      </c>
      <c r="F22" s="122">
        <f>VLOOKUP(D22,Poeng!$B$10:$AB$252,Poeng!AB$1,FALSE)</f>
        <v>1</v>
      </c>
      <c r="G22" s="43"/>
      <c r="H22" s="123">
        <f>VLOOKUP(D22,Poeng!$B$10:$AE$252,Poeng!AE$1,FALSE)</f>
        <v>0</v>
      </c>
      <c r="I22" s="124" t="str">
        <f>VLOOKUP(D22,Poeng!$B$10:$BE$252,Poeng!BE$1,FALSE)</f>
        <v>N/A</v>
      </c>
      <c r="J22" s="80"/>
      <c r="K22" s="281"/>
      <c r="L22" s="796"/>
      <c r="M22" s="1097"/>
      <c r="N22" s="83"/>
      <c r="O22" s="123">
        <f>VLOOKUP(D22,Poeng!$B$10:$BC$252,Poeng!AF$1,FALSE)</f>
        <v>0</v>
      </c>
      <c r="P22" s="123" t="str">
        <f>VLOOKUP(D22,Poeng!$B$10:$BH$252,Poeng!BH$1,FALSE)</f>
        <v>N/A</v>
      </c>
      <c r="Q22" s="744"/>
      <c r="R22" s="745"/>
      <c r="S22" s="738"/>
      <c r="T22" s="319"/>
      <c r="U22" s="83"/>
      <c r="V22" s="123">
        <f>VLOOKUP(D22,Poeng!$B$10:$BC$252,Poeng!AG$1,FALSE)</f>
        <v>0</v>
      </c>
      <c r="W22" s="123" t="str">
        <f>VLOOKUP(D22,Poeng!$B$10:$BK$252,Poeng!BK$1,FALSE)</f>
        <v>N/A</v>
      </c>
      <c r="X22" s="81"/>
      <c r="Y22" s="80"/>
      <c r="Z22" s="738"/>
      <c r="AC22" s="107">
        <f t="shared" si="0"/>
        <v>1</v>
      </c>
      <c r="AD22" s="3" t="e">
        <f>VLOOKUP(K22,'Assessment Details'!$O$45:$P$48,2,FALSE)</f>
        <v>#N/A</v>
      </c>
      <c r="AE22" s="3" t="e">
        <f>VLOOKUP(R22,'Assessment Details'!$O$45:$P$48,2,FALSE)</f>
        <v>#N/A</v>
      </c>
      <c r="AF22" s="3" t="e">
        <f>VLOOKUP(Y22,'Assessment Details'!$O$45:$P$48,2,FALSE)</f>
        <v>#N/A</v>
      </c>
    </row>
    <row r="23" spans="1:58" x14ac:dyDescent="0.25">
      <c r="A23" s="1076">
        <v>14</v>
      </c>
      <c r="B23" s="1075" t="s">
        <v>61</v>
      </c>
      <c r="C23" s="1082" t="s">
        <v>93</v>
      </c>
      <c r="D23" s="19" t="s">
        <v>718</v>
      </c>
      <c r="E23" s="861" t="str">
        <f>VLOOKUP(D23,Poeng!$B$10:$R$252,Poeng!E$1,FALSE)</f>
        <v>BREEAM-NOR AP and BREEAM performance targets (stage 5 and 6)</v>
      </c>
      <c r="F23" s="122">
        <f>VLOOKUP(D23,Poeng!$B$10:$AB$252,Poeng!AB$1,FALSE)</f>
        <v>1</v>
      </c>
      <c r="G23" s="43"/>
      <c r="H23" s="123">
        <f>VLOOKUP(D23,Poeng!$B$10:$AE$252,Poeng!AE$1,FALSE)</f>
        <v>0</v>
      </c>
      <c r="I23" s="124" t="str">
        <f>VLOOKUP(D23,Poeng!$B$10:$BE$252,Poeng!BE$1,FALSE)</f>
        <v>N/A</v>
      </c>
      <c r="J23" s="80"/>
      <c r="K23" s="281"/>
      <c r="L23" s="796"/>
      <c r="M23" s="1097"/>
      <c r="N23" s="83"/>
      <c r="O23" s="123">
        <f>VLOOKUP(D23,Poeng!$B$10:$BC$252,Poeng!AF$1,FALSE)</f>
        <v>0</v>
      </c>
      <c r="P23" s="123" t="str">
        <f>VLOOKUP(D23,Poeng!$B$10:$BH$252,Poeng!BH$1,FALSE)</f>
        <v>N/A</v>
      </c>
      <c r="Q23" s="744"/>
      <c r="R23" s="745"/>
      <c r="S23" s="738"/>
      <c r="T23" s="319"/>
      <c r="U23" s="83"/>
      <c r="V23" s="123">
        <f>VLOOKUP(D23,Poeng!$B$10:$BC$252,Poeng!AG$1,FALSE)</f>
        <v>0</v>
      </c>
      <c r="W23" s="123" t="str">
        <f>VLOOKUP(D23,Poeng!$B$10:$BK$252,Poeng!BK$1,FALSE)</f>
        <v>N/A</v>
      </c>
      <c r="X23" s="81"/>
      <c r="Y23" s="80"/>
      <c r="Z23" s="738"/>
      <c r="AC23" s="107">
        <f t="shared" si="0"/>
        <v>1</v>
      </c>
      <c r="AD23" s="3" t="e">
        <f>VLOOKUP(K23,'Assessment Details'!$O$45:$P$48,2,FALSE)</f>
        <v>#N/A</v>
      </c>
      <c r="AE23" s="3" t="e">
        <f>VLOOKUP(R23,'Assessment Details'!$O$45:$P$48,2,FALSE)</f>
        <v>#N/A</v>
      </c>
      <c r="AF23" s="3" t="e">
        <f>VLOOKUP(Y23,'Assessment Details'!$O$45:$P$48,2,FALSE)</f>
        <v>#N/A</v>
      </c>
    </row>
    <row r="24" spans="1:58" ht="30" x14ac:dyDescent="0.25">
      <c r="A24" s="1076">
        <v>15</v>
      </c>
      <c r="B24" s="1075" t="s">
        <v>61</v>
      </c>
      <c r="C24" s="1082" t="s">
        <v>93</v>
      </c>
      <c r="D24" s="19" t="s">
        <v>719</v>
      </c>
      <c r="E24" s="1071" t="str">
        <f>VLOOKUP(D24,Poeng!$B$10:$R$252,Poeng!E$1,FALSE)</f>
        <v>Considerate contruction: clean and tidy building process and checklist A1 (EU taxonomy requirement: criterion 5-6)</v>
      </c>
      <c r="F24" s="122">
        <f>VLOOKUP(D24,Poeng!$B$10:$AB$252,Poeng!AB$1,FALSE)</f>
        <v>1</v>
      </c>
      <c r="G24" s="43"/>
      <c r="H24" s="123">
        <f>VLOOKUP(D24,Poeng!$B$10:$AE$252,Poeng!AE$1,FALSE)</f>
        <v>0</v>
      </c>
      <c r="I24" s="124" t="str">
        <f>VLOOKUP(D24,Poeng!$B$10:$BE$252,Poeng!BE$1,FALSE)</f>
        <v>Unclassified</v>
      </c>
      <c r="J24" s="80"/>
      <c r="K24" s="281"/>
      <c r="L24" s="796"/>
      <c r="M24" s="1097"/>
      <c r="N24" s="83"/>
      <c r="O24" s="123">
        <f>VLOOKUP(D24,Poeng!$B$10:$BC$252,Poeng!AF$1,FALSE)</f>
        <v>0</v>
      </c>
      <c r="P24" s="123" t="str">
        <f>VLOOKUP(D24,Poeng!$B$10:$BH$252,Poeng!BH$1,FALSE)</f>
        <v>Unclassified</v>
      </c>
      <c r="Q24" s="744"/>
      <c r="R24" s="745"/>
      <c r="S24" s="738"/>
      <c r="T24" s="319"/>
      <c r="U24" s="83"/>
      <c r="V24" s="123">
        <f>VLOOKUP(D24,Poeng!$B$10:$BC$252,Poeng!AG$1,FALSE)</f>
        <v>0</v>
      </c>
      <c r="W24" s="123" t="str">
        <f>VLOOKUP(D24,Poeng!$B$10:$BK$252,Poeng!BK$1,FALSE)</f>
        <v>Unclassified</v>
      </c>
      <c r="X24" s="81"/>
      <c r="Y24" s="80"/>
      <c r="Z24" s="738"/>
      <c r="AC24" s="107">
        <f t="shared" si="0"/>
        <v>1</v>
      </c>
      <c r="AD24" s="3" t="e">
        <f>VLOOKUP(K24,'Assessment Details'!$O$45:$P$48,2,FALSE)</f>
        <v>#N/A</v>
      </c>
      <c r="AE24" s="3" t="e">
        <f>VLOOKUP(R24,'Assessment Details'!$O$45:$P$48,2,FALSE)</f>
        <v>#N/A</v>
      </c>
      <c r="AF24" s="3" t="e">
        <f>VLOOKUP(Y24,'Assessment Details'!$O$45:$P$48,2,FALSE)</f>
        <v>#N/A</v>
      </c>
    </row>
    <row r="25" spans="1:58" ht="30" x14ac:dyDescent="0.25">
      <c r="A25" s="1076">
        <v>16</v>
      </c>
      <c r="B25" s="1075" t="s">
        <v>61</v>
      </c>
      <c r="C25" s="1082" t="s">
        <v>93</v>
      </c>
      <c r="D25" s="19" t="s">
        <v>720</v>
      </c>
      <c r="E25" s="1071" t="str">
        <f>VLOOKUP(D25,Poeng!$B$10:$R$252,Poeng!E$1,FALSE)</f>
        <v>Considerate contruction: INSTA 800 and checklist A1 (EU taxonomy requirement: criterion 7-9)</v>
      </c>
      <c r="F25" s="122">
        <f>VLOOKUP(D25,Poeng!$B$10:$AB$252,Poeng!AB$1,FALSE)</f>
        <v>1</v>
      </c>
      <c r="G25" s="43"/>
      <c r="H25" s="123">
        <f>VLOOKUP(D25,Poeng!$B$10:$AE$252,Poeng!AE$1,FALSE)</f>
        <v>0</v>
      </c>
      <c r="I25" s="124" t="str">
        <f>VLOOKUP(D25,Poeng!$B$10:$BE$252,Poeng!BE$1,FALSE)</f>
        <v>Good</v>
      </c>
      <c r="J25" s="80"/>
      <c r="K25" s="281"/>
      <c r="L25" s="796"/>
      <c r="M25" s="1097"/>
      <c r="N25" s="83"/>
      <c r="O25" s="123">
        <f>VLOOKUP(D25,Poeng!$B$10:$BC$252,Poeng!AF$1,FALSE)</f>
        <v>0</v>
      </c>
      <c r="P25" s="123" t="str">
        <f>VLOOKUP(D25,Poeng!$B$10:$BH$252,Poeng!BH$1,FALSE)</f>
        <v>Good</v>
      </c>
      <c r="Q25" s="744"/>
      <c r="R25" s="745"/>
      <c r="S25" s="738"/>
      <c r="T25" s="319"/>
      <c r="U25" s="83"/>
      <c r="V25" s="123">
        <f>VLOOKUP(D25,Poeng!$B$10:$BC$252,Poeng!AG$1,FALSE)</f>
        <v>0</v>
      </c>
      <c r="W25" s="123" t="str">
        <f>VLOOKUP(D25,Poeng!$B$10:$BK$252,Poeng!BK$1,FALSE)</f>
        <v>Good</v>
      </c>
      <c r="X25" s="81"/>
      <c r="Y25" s="80"/>
      <c r="Z25" s="738"/>
      <c r="AC25" s="107">
        <f t="shared" si="0"/>
        <v>1</v>
      </c>
      <c r="AD25" s="3" t="e">
        <f>VLOOKUP(K25,'Assessment Details'!$O$45:$P$48,2,FALSE)</f>
        <v>#N/A</v>
      </c>
      <c r="AE25" s="3" t="e">
        <f>VLOOKUP(R25,'Assessment Details'!$O$45:$P$48,2,FALSE)</f>
        <v>#N/A</v>
      </c>
      <c r="AF25" s="3" t="e">
        <f>VLOOKUP(Y25,'Assessment Details'!$O$45:$P$48,2,FALSE)</f>
        <v>#N/A</v>
      </c>
    </row>
    <row r="26" spans="1:58" x14ac:dyDescent="0.25">
      <c r="A26" s="1076">
        <v>17</v>
      </c>
      <c r="B26" s="1075" t="s">
        <v>61</v>
      </c>
      <c r="C26" s="1082" t="s">
        <v>93</v>
      </c>
      <c r="D26" s="19" t="s">
        <v>909</v>
      </c>
      <c r="E26" s="861" t="str">
        <f>VLOOKUP(D26,Poeng!$B$10:$R$252,Poeng!E$1,FALSE)</f>
        <v>Energy consumption from activities on the construction site (step 2-4)</v>
      </c>
      <c r="F26" s="122">
        <f>VLOOKUP(D26,Poeng!$B$10:$AB$252,Poeng!AB$1,FALSE)</f>
        <v>1</v>
      </c>
      <c r="G26" s="43"/>
      <c r="H26" s="123">
        <f>VLOOKUP(D26,Poeng!$B$10:$AE$252,Poeng!AE$1,FALSE)</f>
        <v>0</v>
      </c>
      <c r="I26" s="124" t="str">
        <f>VLOOKUP(D26,Poeng!$B$10:$BE$252,Poeng!BE$1,FALSE)</f>
        <v>Very Good</v>
      </c>
      <c r="J26" s="80"/>
      <c r="K26" s="281"/>
      <c r="L26" s="796"/>
      <c r="M26" s="1097"/>
      <c r="N26" s="83"/>
      <c r="O26" s="123">
        <f>VLOOKUP(D26,Poeng!$B$10:$BC$252,Poeng!AF$1,FALSE)</f>
        <v>0</v>
      </c>
      <c r="P26" s="123" t="str">
        <f>VLOOKUP(D26,Poeng!$B$10:$BH$252,Poeng!BH$1,FALSE)</f>
        <v>Very Good</v>
      </c>
      <c r="Q26" s="744"/>
      <c r="R26" s="745"/>
      <c r="S26" s="738"/>
      <c r="T26" s="319"/>
      <c r="U26" s="83"/>
      <c r="V26" s="123">
        <f>VLOOKUP(D26,Poeng!$B$10:$BC$252,Poeng!AG$1,FALSE)</f>
        <v>0</v>
      </c>
      <c r="W26" s="123" t="str">
        <f>VLOOKUP(D26,Poeng!$B$10:$BK$252,Poeng!BK$1,FALSE)</f>
        <v>Very Good</v>
      </c>
      <c r="X26" s="81"/>
      <c r="Y26" s="80"/>
      <c r="Z26" s="738"/>
      <c r="AC26" s="107">
        <f t="shared" si="0"/>
        <v>1</v>
      </c>
      <c r="AD26" s="3" t="e">
        <f>VLOOKUP(K26,'Assessment Details'!$O$45:$P$48,2,FALSE)</f>
        <v>#N/A</v>
      </c>
      <c r="AE26" s="3" t="e">
        <f>VLOOKUP(R26,'Assessment Details'!$O$45:$P$48,2,FALSE)</f>
        <v>#N/A</v>
      </c>
      <c r="AF26" s="3" t="e">
        <f>VLOOKUP(Y26,'Assessment Details'!$O$45:$P$48,2,FALSE)</f>
        <v>#N/A</v>
      </c>
    </row>
    <row r="27" spans="1:58" x14ac:dyDescent="0.25">
      <c r="A27" s="1076">
        <v>18</v>
      </c>
      <c r="B27" s="1075" t="s">
        <v>61</v>
      </c>
      <c r="C27" s="1082" t="s">
        <v>93</v>
      </c>
      <c r="D27" s="19" t="s">
        <v>910</v>
      </c>
      <c r="E27" s="861" t="str">
        <f>VLOOKUP(D27,Poeng!$B$10:$R$252,Poeng!E$1,FALSE)</f>
        <v>Energy consumption from transport of masses and waste (step 2-4)</v>
      </c>
      <c r="F27" s="122">
        <f>VLOOKUP(D27,Poeng!$B$10:$AB$252,Poeng!AB$1,FALSE)</f>
        <v>2</v>
      </c>
      <c r="G27" s="43"/>
      <c r="H27" s="123">
        <f>VLOOKUP(D27,Poeng!$B$10:$AE$252,Poeng!AE$1,FALSE)</f>
        <v>0</v>
      </c>
      <c r="I27" s="124" t="str">
        <f>VLOOKUP(D27,Poeng!$B$10:$BE$252,Poeng!BE$1,FALSE)</f>
        <v>Very Good</v>
      </c>
      <c r="J27" s="80"/>
      <c r="K27" s="281"/>
      <c r="L27" s="796"/>
      <c r="M27" s="1097"/>
      <c r="N27" s="83"/>
      <c r="O27" s="123">
        <f>VLOOKUP(D27,Poeng!$B$10:$BC$252,Poeng!AF$1,FALSE)</f>
        <v>0</v>
      </c>
      <c r="P27" s="123" t="str">
        <f>VLOOKUP(D27,Poeng!$B$10:$BH$252,Poeng!BH$1,FALSE)</f>
        <v>Very Good</v>
      </c>
      <c r="Q27" s="744"/>
      <c r="R27" s="745"/>
      <c r="S27" s="738"/>
      <c r="T27" s="319"/>
      <c r="U27" s="83"/>
      <c r="V27" s="123">
        <f>VLOOKUP(D27,Poeng!$B$10:$BC$252,Poeng!AG$1,FALSE)</f>
        <v>0</v>
      </c>
      <c r="W27" s="123" t="str">
        <f>VLOOKUP(D27,Poeng!$B$10:$BK$252,Poeng!BK$1,FALSE)</f>
        <v>Very Good</v>
      </c>
      <c r="X27" s="81"/>
      <c r="Y27" s="80"/>
      <c r="Z27" s="738"/>
      <c r="AC27" s="107">
        <f t="shared" si="0"/>
        <v>1</v>
      </c>
      <c r="AD27" s="3" t="e">
        <f>VLOOKUP(K27,'Assessment Details'!$O$45:$P$48,2,FALSE)</f>
        <v>#N/A</v>
      </c>
      <c r="AE27" s="3" t="e">
        <f>VLOOKUP(R27,'Assessment Details'!$O$45:$P$48,2,FALSE)</f>
        <v>#N/A</v>
      </c>
      <c r="AF27" s="3" t="e">
        <f>VLOOKUP(Y27,'Assessment Details'!$O$45:$P$48,2,FALSE)</f>
        <v>#N/A</v>
      </c>
    </row>
    <row r="28" spans="1:58" x14ac:dyDescent="0.25">
      <c r="A28" s="1076">
        <v>19</v>
      </c>
      <c r="B28" s="1075" t="s">
        <v>61</v>
      </c>
      <c r="C28" s="924" t="s">
        <v>94</v>
      </c>
      <c r="D28" s="824" t="s">
        <v>94</v>
      </c>
      <c r="E28" s="860" t="str">
        <f>VLOOKUP(D28,Poeng!$B$10:$R$252,Poeng!E$1,FALSE)</f>
        <v>Man 04 Commissioning and handover</v>
      </c>
      <c r="F28" s="865">
        <f>VLOOKUP(D28,Poeng!$B$10:$AB$252,Poeng!AB$1,FALSE)</f>
        <v>3</v>
      </c>
      <c r="G28" s="1001"/>
      <c r="H28" s="866" t="str">
        <f>VLOOKUP(D28,Poeng!$B$10:$AI$252,Poeng!AI$1,FALSE)&amp;" c. "&amp;ROUND(VLOOKUP(D28,Poeng!$B$10:$AE$252,Poeng!AE$1,FALSE)*100,1)&amp;" %"</f>
        <v>0 c. 0 %</v>
      </c>
      <c r="I28" s="924" t="str">
        <f>VLOOKUP(D28,Poeng!$B$10:$BE$252,Poeng!BE$1,FALSE)</f>
        <v>N/A</v>
      </c>
      <c r="J28" s="80"/>
      <c r="K28" s="281"/>
      <c r="L28" s="796"/>
      <c r="M28" s="816"/>
      <c r="N28" s="1001"/>
      <c r="O28" s="877" t="str">
        <f>VLOOKUP(D28,Poeng!$B$10:$BC$252,Poeng!AJ$1,FALSE)&amp;" c. "&amp;ROUND(VLOOKUP(D28,Poeng!$B$10:$BC$252,Poeng!AF$1,FALSE)*100,1)&amp;" %"</f>
        <v>0 c. 0 %</v>
      </c>
      <c r="P28" s="123" t="str">
        <f>VLOOKUP(D28,Poeng!$B$10:$BH$252,Poeng!BH$1,FALSE)</f>
        <v>N/A</v>
      </c>
      <c r="Q28" s="744"/>
      <c r="R28" s="745"/>
      <c r="S28" s="738"/>
      <c r="T28" s="319"/>
      <c r="U28" s="1001"/>
      <c r="V28" s="877" t="str">
        <f>VLOOKUP(D28,Poeng!$B$10:$BC$252,Poeng!AK$1,FALSE)&amp;" c. "&amp;ROUND(VLOOKUP(D28,Poeng!$B$10:$BC$252,Poeng!AG$1,FALSE)*100,1)&amp;" %"</f>
        <v>0 c. 0 %</v>
      </c>
      <c r="W28" s="123" t="str">
        <f>VLOOKUP(D28,Poeng!$B$10:$BK$252,Poeng!BK$1,FALSE)</f>
        <v>N/A</v>
      </c>
      <c r="X28" s="81"/>
      <c r="Y28" s="80"/>
      <c r="Z28" s="738"/>
      <c r="AA28" s="133"/>
      <c r="AB28" s="640" t="s">
        <v>13</v>
      </c>
      <c r="AC28" s="107">
        <f t="shared" si="0"/>
        <v>1</v>
      </c>
      <c r="AD28" s="3" t="e">
        <f>VLOOKUP(K28,'Assessment Details'!$O$45:$P$48,2,FALSE)</f>
        <v>#N/A</v>
      </c>
      <c r="AE28" s="3" t="e">
        <f>VLOOKUP(R28,'Assessment Details'!$O$45:$P$48,2,FALSE)</f>
        <v>#N/A</v>
      </c>
      <c r="AF28" s="3" t="e">
        <f>VLOOKUP(Y28,'Assessment Details'!$O$45:$P$48,2,FALSE)</f>
        <v>#N/A</v>
      </c>
      <c r="AI28" s="70"/>
      <c r="AJ28" s="670" t="s">
        <v>395</v>
      </c>
      <c r="AK28" s="648" t="s">
        <v>405</v>
      </c>
      <c r="AL28" s="648" t="s">
        <v>406</v>
      </c>
      <c r="AM28" s="648" t="s">
        <v>407</v>
      </c>
      <c r="AN28" s="70"/>
      <c r="AO28" s="70"/>
      <c r="AP28" s="70"/>
      <c r="AR28" s="1" t="s">
        <v>13</v>
      </c>
      <c r="AS28" s="23" t="str">
        <f t="shared" si="3"/>
        <v>N/A</v>
      </c>
      <c r="AT28" s="23" t="str">
        <f t="shared" si="1"/>
        <v>N/A</v>
      </c>
      <c r="AU28" s="23" t="str">
        <f t="shared" si="2"/>
        <v>N/A</v>
      </c>
      <c r="AV28" s="23"/>
      <c r="AW28" s="23"/>
      <c r="AX28" s="23"/>
      <c r="AY28" s="18"/>
      <c r="AZ28" s="640"/>
      <c r="BA28" s="18"/>
      <c r="BB28" s="18"/>
      <c r="BC28" s="18"/>
      <c r="BD28" s="18"/>
      <c r="BE28" s="18"/>
      <c r="BF28" s="18"/>
    </row>
    <row r="29" spans="1:58" x14ac:dyDescent="0.25">
      <c r="A29" s="1076">
        <v>20</v>
      </c>
      <c r="B29" s="1075" t="s">
        <v>61</v>
      </c>
      <c r="C29" s="1082" t="s">
        <v>94</v>
      </c>
      <c r="D29" s="19" t="s">
        <v>721</v>
      </c>
      <c r="E29" s="861" t="str">
        <f>VLOOKUP(D29,Poeng!$B$10:$R$252,Poeng!E$1,FALSE)</f>
        <v xml:space="preserve">Commissioning - testing schedule and responsibilities </v>
      </c>
      <c r="F29" s="122">
        <f>VLOOKUP(D29,Poeng!$B$10:$AB$252,Poeng!AB$1,FALSE)</f>
        <v>1</v>
      </c>
      <c r="G29" s="43"/>
      <c r="H29" s="123">
        <f>VLOOKUP(D29,Poeng!$B$10:$AE$252,Poeng!AE$1,FALSE)</f>
        <v>0</v>
      </c>
      <c r="I29" s="124" t="str">
        <f>VLOOKUP(D29,Poeng!$B$10:$BE$252,Poeng!BE$1,FALSE)</f>
        <v>Unclassified</v>
      </c>
      <c r="J29" s="80"/>
      <c r="K29" s="281"/>
      <c r="L29" s="796"/>
      <c r="M29" s="1097"/>
      <c r="N29" s="83"/>
      <c r="O29" s="123">
        <f>VLOOKUP(D29,Poeng!$B$10:$BC$252,Poeng!AF$1,FALSE)</f>
        <v>0</v>
      </c>
      <c r="P29" s="123" t="str">
        <f>VLOOKUP(D29,Poeng!$B$10:$BH$252,Poeng!BH$1,FALSE)</f>
        <v>Unclassified</v>
      </c>
      <c r="Q29" s="744"/>
      <c r="R29" s="745"/>
      <c r="S29" s="738"/>
      <c r="T29" s="319"/>
      <c r="U29" s="83"/>
      <c r="V29" s="123">
        <f>VLOOKUP(D29,Poeng!$B$10:$BC$252,Poeng!AG$1,FALSE)</f>
        <v>0</v>
      </c>
      <c r="W29" s="123" t="str">
        <f>VLOOKUP(D29,Poeng!$B$10:$BK$252,Poeng!BK$1,FALSE)</f>
        <v>Unclassified</v>
      </c>
      <c r="X29" s="81"/>
      <c r="Y29" s="80"/>
      <c r="Z29" s="738"/>
      <c r="AC29" s="107">
        <f t="shared" si="0"/>
        <v>1</v>
      </c>
      <c r="AD29" s="3" t="e">
        <f>VLOOKUP(K29,'Assessment Details'!$O$45:$P$48,2,FALSE)</f>
        <v>#N/A</v>
      </c>
      <c r="AE29" s="3" t="e">
        <f>VLOOKUP(R29,'Assessment Details'!$O$45:$P$48,2,FALSE)</f>
        <v>#N/A</v>
      </c>
      <c r="AF29" s="3" t="e">
        <f>VLOOKUP(Y29,'Assessment Details'!$O$45:$P$48,2,FALSE)</f>
        <v>#N/A</v>
      </c>
    </row>
    <row r="30" spans="1:58" x14ac:dyDescent="0.25">
      <c r="A30" s="1076">
        <v>21</v>
      </c>
      <c r="B30" s="1075" t="s">
        <v>61</v>
      </c>
      <c r="C30" s="1082" t="s">
        <v>94</v>
      </c>
      <c r="D30" s="19" t="s">
        <v>722</v>
      </c>
      <c r="E30" s="861" t="str">
        <f>VLOOKUP(D30,Poeng!$B$10:$R$252,Poeng!E$1,FALSE)</f>
        <v>Commissioning - design, preperation and implementation</v>
      </c>
      <c r="F30" s="122">
        <f>VLOOKUP(D30,Poeng!$B$10:$AB$252,Poeng!AB$1,FALSE)</f>
        <v>1</v>
      </c>
      <c r="G30" s="43"/>
      <c r="H30" s="123">
        <f>VLOOKUP(D30,Poeng!$B$10:$AE$252,Poeng!AE$1,FALSE)</f>
        <v>0</v>
      </c>
      <c r="I30" s="124" t="str">
        <f>VLOOKUP(D30,Poeng!$B$10:$BE$252,Poeng!BE$1,FALSE)</f>
        <v>N/A</v>
      </c>
      <c r="J30" s="80"/>
      <c r="K30" s="281"/>
      <c r="L30" s="796"/>
      <c r="M30" s="1097"/>
      <c r="N30" s="83"/>
      <c r="O30" s="123">
        <f>VLOOKUP(D30,Poeng!$B$10:$BC$252,Poeng!AF$1,FALSE)</f>
        <v>0</v>
      </c>
      <c r="P30" s="123" t="str">
        <f>VLOOKUP(D30,Poeng!$B$10:$BH$252,Poeng!BH$1,FALSE)</f>
        <v>N/A</v>
      </c>
      <c r="Q30" s="744"/>
      <c r="R30" s="745"/>
      <c r="S30" s="738"/>
      <c r="T30" s="319"/>
      <c r="U30" s="83"/>
      <c r="V30" s="123">
        <f>VLOOKUP(D30,Poeng!$B$10:$BC$252,Poeng!AG$1,FALSE)</f>
        <v>0</v>
      </c>
      <c r="W30" s="123" t="str">
        <f>VLOOKUP(D30,Poeng!$B$10:$BK$252,Poeng!BK$1,FALSE)</f>
        <v>N/A</v>
      </c>
      <c r="X30" s="81"/>
      <c r="Y30" s="80"/>
      <c r="Z30" s="738"/>
      <c r="AC30" s="107">
        <f t="shared" si="0"/>
        <v>1</v>
      </c>
      <c r="AD30" s="3" t="e">
        <f>VLOOKUP(K30,'Assessment Details'!$O$45:$P$48,2,FALSE)</f>
        <v>#N/A</v>
      </c>
      <c r="AE30" s="3" t="e">
        <f>VLOOKUP(R30,'Assessment Details'!$O$45:$P$48,2,FALSE)</f>
        <v>#N/A</v>
      </c>
      <c r="AF30" s="3" t="e">
        <f>VLOOKUP(Y30,'Assessment Details'!$O$45:$P$48,2,FALSE)</f>
        <v>#N/A</v>
      </c>
    </row>
    <row r="31" spans="1:58" x14ac:dyDescent="0.25">
      <c r="A31" s="1076">
        <v>22</v>
      </c>
      <c r="B31" s="1075" t="s">
        <v>61</v>
      </c>
      <c r="C31" s="1082" t="s">
        <v>94</v>
      </c>
      <c r="D31" s="19" t="s">
        <v>723</v>
      </c>
      <c r="E31" s="861" t="str">
        <f>VLOOKUP(D31,Poeng!$B$10:$R$252,Poeng!E$1,FALSE)</f>
        <v>Prepare for good handover</v>
      </c>
      <c r="F31" s="122">
        <f>VLOOKUP(D31,Poeng!$B$10:$AB$252,Poeng!AB$1,FALSE)</f>
        <v>1</v>
      </c>
      <c r="G31" s="43"/>
      <c r="H31" s="123">
        <f>VLOOKUP(D31,Poeng!$B$10:$AE$252,Poeng!AE$1,FALSE)</f>
        <v>0</v>
      </c>
      <c r="I31" s="124" t="str">
        <f>VLOOKUP(D31,Poeng!$B$10:$BE$252,Poeng!BE$1,FALSE)</f>
        <v>Good</v>
      </c>
      <c r="J31" s="80"/>
      <c r="K31" s="281"/>
      <c r="L31" s="796"/>
      <c r="M31" s="1097"/>
      <c r="N31" s="83"/>
      <c r="O31" s="123">
        <f>VLOOKUP(D31,Poeng!$B$10:$BC$252,Poeng!AF$1,FALSE)</f>
        <v>0</v>
      </c>
      <c r="P31" s="123" t="str">
        <f>VLOOKUP(D31,Poeng!$B$10:$BH$252,Poeng!BH$1,FALSE)</f>
        <v>Good</v>
      </c>
      <c r="Q31" s="744"/>
      <c r="R31" s="745"/>
      <c r="S31" s="738"/>
      <c r="T31" s="319"/>
      <c r="U31" s="83"/>
      <c r="V31" s="123">
        <f>VLOOKUP(D31,Poeng!$B$10:$BC$252,Poeng!AG$1,FALSE)</f>
        <v>0</v>
      </c>
      <c r="W31" s="123" t="str">
        <f>VLOOKUP(D31,Poeng!$B$10:$BK$252,Poeng!BK$1,FALSE)</f>
        <v>Good</v>
      </c>
      <c r="X31" s="81"/>
      <c r="Y31" s="80"/>
      <c r="Z31" s="738"/>
      <c r="AC31" s="107">
        <f t="shared" si="0"/>
        <v>1</v>
      </c>
      <c r="AD31" s="3" t="e">
        <f>VLOOKUP(K31,'Assessment Details'!$O$45:$P$48,2,FALSE)</f>
        <v>#N/A</v>
      </c>
      <c r="AE31" s="3" t="e">
        <f>VLOOKUP(R31,'Assessment Details'!$O$45:$P$48,2,FALSE)</f>
        <v>#N/A</v>
      </c>
      <c r="AF31" s="3" t="e">
        <f>VLOOKUP(Y31,'Assessment Details'!$O$45:$P$48,2,FALSE)</f>
        <v>#N/A</v>
      </c>
    </row>
    <row r="32" spans="1:58" x14ac:dyDescent="0.25">
      <c r="A32" s="1076">
        <v>23</v>
      </c>
      <c r="B32" s="1075" t="s">
        <v>61</v>
      </c>
      <c r="C32" s="924" t="s">
        <v>95</v>
      </c>
      <c r="D32" s="824" t="s">
        <v>95</v>
      </c>
      <c r="E32" s="860" t="str">
        <f>VLOOKUP(D32,Poeng!$B$10:$R$252,Poeng!E$1,FALSE)</f>
        <v>Man 05 Aftercare</v>
      </c>
      <c r="F32" s="865">
        <f>VLOOKUP(D32,Poeng!$B$10:$AB$252,Poeng!AB$1,FALSE)</f>
        <v>3</v>
      </c>
      <c r="G32" s="1001"/>
      <c r="H32" s="866" t="str">
        <f>VLOOKUP(D32,Poeng!$B$10:$AI$252,Poeng!AI$1,FALSE)&amp;" c. "&amp;ROUND(VLOOKUP(D32,Poeng!$B$10:$AE$252,Poeng!AE$1,FALSE)*100,1)&amp;" %"</f>
        <v>0 c. 0 %</v>
      </c>
      <c r="I32" s="924" t="str">
        <f>VLOOKUP(D32,Poeng!$B$10:$BE$252,Poeng!BE$1,FALSE)</f>
        <v>N/A</v>
      </c>
      <c r="J32" s="80"/>
      <c r="K32" s="281"/>
      <c r="L32" s="796"/>
      <c r="M32" s="816"/>
      <c r="N32" s="1001"/>
      <c r="O32" s="877" t="str">
        <f>VLOOKUP(D32,Poeng!$B$10:$BC$252,Poeng!AJ$1,FALSE)&amp;" c. "&amp;ROUND(VLOOKUP(D32,Poeng!$B$10:$BC$252,Poeng!AF$1,FALSE)*100,1)&amp;" %"</f>
        <v>0 c. 0 %</v>
      </c>
      <c r="P32" s="123" t="str">
        <f>VLOOKUP(D32,Poeng!$B$10:$BH$252,Poeng!BH$1,FALSE)</f>
        <v>N/A</v>
      </c>
      <c r="Q32" s="744"/>
      <c r="R32" s="745"/>
      <c r="S32" s="738"/>
      <c r="T32" s="319"/>
      <c r="U32" s="1001"/>
      <c r="V32" s="877" t="str">
        <f>VLOOKUP(D32,Poeng!$B$10:$BC$252,Poeng!AK$1,FALSE)&amp;" c. "&amp;ROUND(VLOOKUP(D32,Poeng!$B$10:$BC$252,Poeng!AG$1,FALSE)*100,1)&amp;" %"</f>
        <v>0 c. 0 %</v>
      </c>
      <c r="W32" s="123" t="str">
        <f>VLOOKUP(D32,Poeng!$B$10:$BK$252,Poeng!BK$1,FALSE)</f>
        <v>N/A</v>
      </c>
      <c r="X32" s="81"/>
      <c r="Y32" s="80"/>
      <c r="Z32" s="738"/>
      <c r="AA32" s="133"/>
      <c r="AB32" s="640" t="s">
        <v>13</v>
      </c>
      <c r="AC32" s="107">
        <f t="shared" si="0"/>
        <v>1</v>
      </c>
      <c r="AD32" s="3" t="e">
        <f>VLOOKUP(K32,'Assessment Details'!$O$45:$P$48,2,FALSE)</f>
        <v>#N/A</v>
      </c>
      <c r="AE32" s="3" t="e">
        <f>VLOOKUP(R32,'Assessment Details'!$O$45:$P$48,2,FALSE)</f>
        <v>#N/A</v>
      </c>
      <c r="AF32" s="3" t="e">
        <f>VLOOKUP(Y32,'Assessment Details'!$O$45:$P$48,2,FALSE)</f>
        <v>#N/A</v>
      </c>
      <c r="AG32" s="27"/>
      <c r="AI32" s="70"/>
      <c r="AJ32" s="670" t="s">
        <v>308</v>
      </c>
      <c r="AK32" s="648" t="s">
        <v>405</v>
      </c>
      <c r="AL32" s="648" t="s">
        <v>407</v>
      </c>
      <c r="AM32" s="70"/>
      <c r="AN32" s="70"/>
      <c r="AO32" s="70"/>
      <c r="AP32" s="70"/>
      <c r="AR32" s="1" t="s">
        <v>13</v>
      </c>
      <c r="AS32" s="23" t="str">
        <f t="shared" si="3"/>
        <v>N/A</v>
      </c>
      <c r="AT32" s="23" t="str">
        <f t="shared" si="1"/>
        <v>N/A</v>
      </c>
      <c r="AU32" s="23" t="str">
        <f t="shared" si="2"/>
        <v>N/A</v>
      </c>
      <c r="AV32" s="23"/>
      <c r="AW32" s="23"/>
      <c r="AX32" s="23"/>
      <c r="AY32" s="18"/>
      <c r="AZ32" s="640"/>
      <c r="BA32" s="18"/>
      <c r="BB32" s="18"/>
      <c r="BC32" s="18"/>
      <c r="BD32" s="18"/>
      <c r="BE32" s="18"/>
      <c r="BF32" s="18"/>
    </row>
    <row r="33" spans="1:58" x14ac:dyDescent="0.25">
      <c r="A33" s="1076">
        <v>24</v>
      </c>
      <c r="B33" s="1075" t="s">
        <v>61</v>
      </c>
      <c r="C33" s="1082" t="s">
        <v>95</v>
      </c>
      <c r="D33" s="19" t="s">
        <v>724</v>
      </c>
      <c r="E33" s="861" t="str">
        <f>VLOOKUP(D33,Poeng!$B$10:$R$252,Poeng!E$1,FALSE)</f>
        <v>Aftercare support</v>
      </c>
      <c r="F33" s="122">
        <f>VLOOKUP(D33,Poeng!$B$10:$AB$252,Poeng!AB$1,FALSE)</f>
        <v>1</v>
      </c>
      <c r="G33" s="43"/>
      <c r="H33" s="123">
        <f>VLOOKUP(D33,Poeng!$B$10:$AE$252,Poeng!AE$1,FALSE)</f>
        <v>0</v>
      </c>
      <c r="I33" s="124" t="str">
        <f>VLOOKUP(D33,Poeng!$B$10:$BE$252,Poeng!BE$1,FALSE)</f>
        <v>N/A</v>
      </c>
      <c r="J33" s="80"/>
      <c r="K33" s="281"/>
      <c r="L33" s="796"/>
      <c r="M33" s="1097"/>
      <c r="N33" s="83"/>
      <c r="O33" s="123">
        <f>VLOOKUP(D33,Poeng!$B$10:$BC$252,Poeng!AF$1,FALSE)</f>
        <v>0</v>
      </c>
      <c r="P33" s="123" t="str">
        <f>VLOOKUP(D33,Poeng!$B$10:$BH$252,Poeng!BH$1,FALSE)</f>
        <v>N/A</v>
      </c>
      <c r="Q33" s="744"/>
      <c r="R33" s="745"/>
      <c r="S33" s="738"/>
      <c r="T33" s="319"/>
      <c r="U33" s="83"/>
      <c r="V33" s="123">
        <f>VLOOKUP(D33,Poeng!$B$10:$BC$252,Poeng!AG$1,FALSE)</f>
        <v>0</v>
      </c>
      <c r="W33" s="123" t="str">
        <f>VLOOKUP(D33,Poeng!$B$10:$BK$252,Poeng!BK$1,FALSE)</f>
        <v>N/A</v>
      </c>
      <c r="X33" s="81"/>
      <c r="Y33" s="80"/>
      <c r="Z33" s="738"/>
      <c r="AC33" s="107">
        <f t="shared" si="0"/>
        <v>1</v>
      </c>
      <c r="AD33" s="3" t="e">
        <f>VLOOKUP(K33,'Assessment Details'!$O$45:$P$48,2,FALSE)</f>
        <v>#N/A</v>
      </c>
      <c r="AE33" s="3" t="e">
        <f>VLOOKUP(R33,'Assessment Details'!$O$45:$P$48,2,FALSE)</f>
        <v>#N/A</v>
      </c>
      <c r="AF33" s="3" t="e">
        <f>VLOOKUP(Y33,'Assessment Details'!$O$45:$P$48,2,FALSE)</f>
        <v>#N/A</v>
      </c>
    </row>
    <row r="34" spans="1:58" x14ac:dyDescent="0.25">
      <c r="A34" s="1076">
        <v>25</v>
      </c>
      <c r="B34" s="1075" t="s">
        <v>61</v>
      </c>
      <c r="C34" s="1082" t="s">
        <v>95</v>
      </c>
      <c r="D34" s="19" t="s">
        <v>725</v>
      </c>
      <c r="E34" s="861" t="str">
        <f>VLOOKUP(D34,Poeng!$B$10:$R$252,Poeng!E$1,FALSE)</f>
        <v>Sesonal commisioning</v>
      </c>
      <c r="F34" s="122">
        <f>VLOOKUP(D34,Poeng!$B$10:$AB$252,Poeng!AB$1,FALSE)</f>
        <v>1</v>
      </c>
      <c r="G34" s="43"/>
      <c r="H34" s="123">
        <f>VLOOKUP(D34,Poeng!$B$10:$AE$252,Poeng!AE$1,FALSE)</f>
        <v>0</v>
      </c>
      <c r="I34" s="124" t="str">
        <f>VLOOKUP(D34,Poeng!$B$10:$BE$252,Poeng!BE$1,FALSE)</f>
        <v>Very Good</v>
      </c>
      <c r="J34" s="80"/>
      <c r="K34" s="281"/>
      <c r="L34" s="796"/>
      <c r="M34" s="1097"/>
      <c r="N34" s="83"/>
      <c r="O34" s="123">
        <f>VLOOKUP(D34,Poeng!$B$10:$BC$252,Poeng!AF$1,FALSE)</f>
        <v>0</v>
      </c>
      <c r="P34" s="123" t="str">
        <f>VLOOKUP(D34,Poeng!$B$10:$BH$252,Poeng!BH$1,FALSE)</f>
        <v>Very Good</v>
      </c>
      <c r="Q34" s="744"/>
      <c r="R34" s="745"/>
      <c r="S34" s="738"/>
      <c r="T34" s="319"/>
      <c r="U34" s="83"/>
      <c r="V34" s="123">
        <f>VLOOKUP(D34,Poeng!$B$10:$BC$252,Poeng!AG$1,FALSE)</f>
        <v>0</v>
      </c>
      <c r="W34" s="123" t="str">
        <f>VLOOKUP(D34,Poeng!$B$10:$BK$252,Poeng!BK$1,FALSE)</f>
        <v>Very Good</v>
      </c>
      <c r="X34" s="81"/>
      <c r="Y34" s="80"/>
      <c r="Z34" s="738"/>
      <c r="AC34" s="107">
        <f t="shared" si="0"/>
        <v>1</v>
      </c>
      <c r="AD34" s="3" t="e">
        <f>VLOOKUP(K34,'Assessment Details'!$O$45:$P$48,2,FALSE)</f>
        <v>#N/A</v>
      </c>
      <c r="AE34" s="3" t="e">
        <f>VLOOKUP(R34,'Assessment Details'!$O$45:$P$48,2,FALSE)</f>
        <v>#N/A</v>
      </c>
      <c r="AF34" s="3" t="e">
        <f>VLOOKUP(Y34,'Assessment Details'!$O$45:$P$48,2,FALSE)</f>
        <v>#N/A</v>
      </c>
    </row>
    <row r="35" spans="1:58" x14ac:dyDescent="0.25">
      <c r="A35" s="1076">
        <v>26</v>
      </c>
      <c r="B35" s="1075" t="s">
        <v>61</v>
      </c>
      <c r="C35" s="1082" t="s">
        <v>95</v>
      </c>
      <c r="D35" s="19" t="s">
        <v>726</v>
      </c>
      <c r="E35" s="861" t="str">
        <f>VLOOKUP(D35,Poeng!$B$10:$R$252,Poeng!E$1,FALSE)</f>
        <v>Post-occypancy evaluation</v>
      </c>
      <c r="F35" s="122">
        <f>VLOOKUP(D35,Poeng!$B$10:$AB$252,Poeng!AB$1,FALSE)</f>
        <v>1</v>
      </c>
      <c r="G35" s="43"/>
      <c r="H35" s="123">
        <f>VLOOKUP(D35,Poeng!$B$10:$AE$252,Poeng!AE$1,FALSE)</f>
        <v>0</v>
      </c>
      <c r="I35" s="124" t="str">
        <f>VLOOKUP(D35,Poeng!$B$10:$BE$252,Poeng!BE$1,FALSE)</f>
        <v>N/A</v>
      </c>
      <c r="J35" s="80"/>
      <c r="K35" s="281"/>
      <c r="L35" s="796"/>
      <c r="M35" s="1097"/>
      <c r="N35" s="83"/>
      <c r="O35" s="123">
        <f>VLOOKUP(D35,Poeng!$B$10:$BC$252,Poeng!AF$1,FALSE)</f>
        <v>0</v>
      </c>
      <c r="P35" s="123" t="str">
        <f>VLOOKUP(D35,Poeng!$B$10:$BH$252,Poeng!BH$1,FALSE)</f>
        <v>N/A</v>
      </c>
      <c r="Q35" s="744"/>
      <c r="R35" s="745"/>
      <c r="S35" s="738"/>
      <c r="T35" s="319"/>
      <c r="U35" s="83"/>
      <c r="V35" s="123">
        <f>VLOOKUP(D35,Poeng!$B$10:$BC$252,Poeng!AG$1,FALSE)</f>
        <v>0</v>
      </c>
      <c r="W35" s="123" t="str">
        <f>VLOOKUP(D35,Poeng!$B$10:$BK$252,Poeng!BK$1,FALSE)</f>
        <v>N/A</v>
      </c>
      <c r="X35" s="81"/>
      <c r="Y35" s="80"/>
      <c r="Z35" s="738"/>
      <c r="AC35" s="107">
        <f t="shared" si="0"/>
        <v>1</v>
      </c>
      <c r="AD35" s="3" t="e">
        <f>VLOOKUP(K35,'Assessment Details'!$O$45:$P$48,2,FALSE)</f>
        <v>#N/A</v>
      </c>
      <c r="AE35" s="3" t="e">
        <f>VLOOKUP(R35,'Assessment Details'!$O$45:$P$48,2,FALSE)</f>
        <v>#N/A</v>
      </c>
      <c r="AF35" s="3" t="e">
        <f>VLOOKUP(Y35,'Assessment Details'!$O$45:$P$48,2,FALSE)</f>
        <v>#N/A</v>
      </c>
    </row>
    <row r="36" spans="1:58" ht="15.75" thickBot="1" x14ac:dyDescent="0.3">
      <c r="A36" s="1076">
        <v>27</v>
      </c>
      <c r="B36" s="1075" t="s">
        <v>61</v>
      </c>
      <c r="C36" s="1083"/>
      <c r="D36" s="824" t="s">
        <v>881</v>
      </c>
      <c r="E36" s="320" t="s">
        <v>102</v>
      </c>
      <c r="F36" s="125">
        <f>Man_Credits</f>
        <v>21</v>
      </c>
      <c r="G36" s="925"/>
      <c r="H36" s="126">
        <f>Man_cont_tot</f>
        <v>0</v>
      </c>
      <c r="I36" s="867" t="str">
        <f>"Credits achieved: "&amp;Man_tot_user</f>
        <v>Credits achieved: 0</v>
      </c>
      <c r="J36" s="134"/>
      <c r="K36" s="282"/>
      <c r="L36" s="746"/>
      <c r="M36" s="815"/>
      <c r="N36" s="383"/>
      <c r="O36" s="126">
        <f>VLOOKUP(D36,Poeng!$B$10:$BC$252,Poeng!AF$1,FALSE)</f>
        <v>0</v>
      </c>
      <c r="P36" s="867" t="str">
        <f>"Credits achieved: "&amp;Man_d_user</f>
        <v>Credits achieved: 0</v>
      </c>
      <c r="Q36" s="747"/>
      <c r="R36" s="748"/>
      <c r="S36" s="746"/>
      <c r="T36" s="319"/>
      <c r="U36" s="383"/>
      <c r="V36" s="126">
        <f>VLOOKUP(D36,Poeng!$B$10:$BC$252,Poeng!AG$1,FALSE)</f>
        <v>0</v>
      </c>
      <c r="W36" s="867" t="str">
        <f>"Credits achieved: "&amp;Man_c_user</f>
        <v>Credits achieved: 0</v>
      </c>
      <c r="X36" s="382"/>
      <c r="Y36" s="135"/>
      <c r="Z36" s="746"/>
      <c r="AA36" s="133"/>
      <c r="AB36" s="641"/>
      <c r="AC36" s="107">
        <f t="shared" si="0"/>
        <v>1</v>
      </c>
      <c r="AD36" s="276">
        <v>0</v>
      </c>
      <c r="AE36" s="276">
        <v>0</v>
      </c>
      <c r="AF36" s="276">
        <v>0</v>
      </c>
      <c r="AG36" s="27"/>
      <c r="AI36" s="70"/>
      <c r="AJ36" s="670" t="s">
        <v>102</v>
      </c>
      <c r="AK36" s="70"/>
      <c r="AL36" s="70"/>
      <c r="AM36" s="70"/>
      <c r="AN36" s="70"/>
      <c r="AO36" s="70"/>
      <c r="AP36" s="70"/>
      <c r="AS36" s="23" t="str">
        <f t="shared" si="3"/>
        <v>N/A</v>
      </c>
      <c r="AT36" s="23" t="str">
        <f t="shared" si="1"/>
        <v>N/A</v>
      </c>
      <c r="AU36" s="23" t="str">
        <f t="shared" si="2"/>
        <v>N/A</v>
      </c>
      <c r="AV36" s="23"/>
      <c r="AW36" s="23"/>
      <c r="AX36" s="23"/>
      <c r="AY36" s="18"/>
      <c r="AZ36" s="641"/>
      <c r="BA36" s="18"/>
      <c r="BB36" s="18"/>
      <c r="BC36" s="18"/>
      <c r="BD36" s="18"/>
      <c r="BE36" s="18"/>
      <c r="BF36" s="18"/>
    </row>
    <row r="37" spans="1:58" x14ac:dyDescent="0.25">
      <c r="A37" s="1076">
        <v>28</v>
      </c>
      <c r="B37" s="1075" t="s">
        <v>61</v>
      </c>
      <c r="C37" s="322"/>
      <c r="D37" s="824"/>
      <c r="E37" s="321"/>
      <c r="F37" s="322"/>
      <c r="G37" s="323"/>
      <c r="H37" s="322"/>
      <c r="I37" s="322"/>
      <c r="J37" s="324"/>
      <c r="K37" s="323"/>
      <c r="L37" s="749"/>
      <c r="M37" s="815"/>
      <c r="N37" s="325"/>
      <c r="O37" s="325"/>
      <c r="P37" s="749"/>
      <c r="Q37" s="749"/>
      <c r="R37" s="750"/>
      <c r="S37" s="1094"/>
      <c r="T37" s="326"/>
      <c r="U37" s="325"/>
      <c r="V37" s="325"/>
      <c r="W37" s="749"/>
      <c r="X37" s="324"/>
      <c r="Y37" s="325"/>
      <c r="Z37" s="1094"/>
      <c r="AA37" s="699"/>
      <c r="AB37" s="324"/>
      <c r="AC37" s="107">
        <f t="shared" si="0"/>
        <v>1</v>
      </c>
      <c r="AD37" s="278">
        <v>0</v>
      </c>
      <c r="AE37" s="278">
        <v>0</v>
      </c>
      <c r="AF37" s="278">
        <v>0</v>
      </c>
      <c r="AI37" s="70"/>
      <c r="AJ37" s="671"/>
      <c r="AK37" s="70"/>
      <c r="AL37" s="70"/>
      <c r="AM37" s="70"/>
      <c r="AN37" s="70"/>
      <c r="AO37" s="70"/>
      <c r="AP37" s="70"/>
      <c r="AS37" s="23" t="str">
        <f t="shared" si="3"/>
        <v>N/A</v>
      </c>
      <c r="AT37" s="23" t="str">
        <f t="shared" si="1"/>
        <v>N/A</v>
      </c>
      <c r="AU37" s="23" t="str">
        <f t="shared" si="2"/>
        <v>N/A</v>
      </c>
      <c r="AV37" s="23"/>
      <c r="AW37" s="23"/>
      <c r="AX37" s="23"/>
      <c r="AZ37" s="324"/>
    </row>
    <row r="38" spans="1:58" ht="18.75" x14ac:dyDescent="0.25">
      <c r="A38" s="1076">
        <v>29</v>
      </c>
      <c r="B38" s="1077" t="s">
        <v>64</v>
      </c>
      <c r="C38" s="1084"/>
      <c r="D38" s="824"/>
      <c r="E38" s="327" t="s">
        <v>44</v>
      </c>
      <c r="F38" s="315"/>
      <c r="G38" s="316"/>
      <c r="H38" s="315"/>
      <c r="I38" s="315"/>
      <c r="J38" s="328"/>
      <c r="K38" s="329"/>
      <c r="L38" s="741"/>
      <c r="M38" s="816"/>
      <c r="N38" s="333"/>
      <c r="O38" s="332"/>
      <c r="P38" s="742"/>
      <c r="Q38" s="742"/>
      <c r="R38" s="751"/>
      <c r="S38" s="743"/>
      <c r="T38" s="319"/>
      <c r="U38" s="333"/>
      <c r="V38" s="332"/>
      <c r="W38" s="742"/>
      <c r="X38" s="331"/>
      <c r="Y38" s="332"/>
      <c r="Z38" s="741"/>
      <c r="AA38" s="133"/>
      <c r="AB38" s="330"/>
      <c r="AC38" s="107">
        <f t="shared" si="0"/>
        <v>1</v>
      </c>
      <c r="AD38" s="275">
        <v>0</v>
      </c>
      <c r="AE38" s="275">
        <v>0</v>
      </c>
      <c r="AF38" s="275">
        <v>0</v>
      </c>
      <c r="AI38" s="70"/>
      <c r="AJ38" s="671" t="s">
        <v>44</v>
      </c>
      <c r="AK38" s="70"/>
      <c r="AL38" s="70"/>
      <c r="AM38" s="70"/>
      <c r="AN38" s="70"/>
      <c r="AO38" s="70"/>
      <c r="AP38" s="70"/>
      <c r="AS38" s="23" t="str">
        <f t="shared" si="3"/>
        <v>N/A</v>
      </c>
      <c r="AT38" s="23" t="str">
        <f t="shared" si="1"/>
        <v>N/A</v>
      </c>
      <c r="AU38" s="23" t="str">
        <f t="shared" si="2"/>
        <v>N/A</v>
      </c>
      <c r="AV38" s="23"/>
      <c r="AW38" s="23"/>
      <c r="AX38" s="23"/>
      <c r="AZ38" s="330"/>
    </row>
    <row r="39" spans="1:58" x14ac:dyDescent="0.25">
      <c r="A39" s="1076">
        <v>30</v>
      </c>
      <c r="B39" s="1077" t="s">
        <v>64</v>
      </c>
      <c r="C39" s="924" t="s">
        <v>116</v>
      </c>
      <c r="D39" s="824" t="s">
        <v>116</v>
      </c>
      <c r="E39" s="860" t="str">
        <f>VLOOKUP(D39,Poeng!$B$10:$R$252,Poeng!E$1,FALSE)</f>
        <v>Hea 01 Visual comfort</v>
      </c>
      <c r="F39" s="865">
        <f>VLOOKUP(D39,Poeng!$B$10:$AB$252,Poeng!AB$1,FALSE)</f>
        <v>7</v>
      </c>
      <c r="G39" s="1000"/>
      <c r="H39" s="866" t="str">
        <f>VLOOKUP(D39,Poeng!$B$10:$AI$252,Poeng!AI$1,FALSE)&amp;" c. "&amp;ROUND(VLOOKUP(D39,Poeng!$B$10:$AE$252,Poeng!AE$1,FALSE)*100,1)&amp;" %"</f>
        <v>0 c. 0 %</v>
      </c>
      <c r="I39" s="923" t="str">
        <f>VLOOKUP(D39,Poeng!$B$10:$BE$252,Poeng!BE$1,FALSE)</f>
        <v>N/A</v>
      </c>
      <c r="J39" s="874"/>
      <c r="K39" s="875"/>
      <c r="L39" s="876"/>
      <c r="M39" s="815"/>
      <c r="N39" s="1001"/>
      <c r="O39" s="877" t="str">
        <f>VLOOKUP(D39,Poeng!$B$10:$BC$252,Poeng!AJ$1,FALSE)&amp;" c. "&amp;ROUND(VLOOKUP(D39,Poeng!$B$10:$BC$252,Poeng!AF$1,FALSE)*100,1)&amp;" %"</f>
        <v>0 c. 0 %</v>
      </c>
      <c r="P39" s="123" t="str">
        <f>VLOOKUP(D39,Poeng!$B$10:$BH$252,Poeng!BH$1,FALSE)</f>
        <v>N/A</v>
      </c>
      <c r="Q39" s="744"/>
      <c r="R39" s="745"/>
      <c r="S39" s="738"/>
      <c r="T39" s="319"/>
      <c r="U39" s="1001"/>
      <c r="V39" s="877" t="str">
        <f>VLOOKUP(D39,Poeng!$B$10:$BC$252,Poeng!AK$1,FALSE)&amp;" c. "&amp;ROUND(VLOOKUP(D39,Poeng!$B$10:$BC$252,Poeng!AG$1,FALSE)*100,1)&amp;" %"</f>
        <v>0 c. 0 %</v>
      </c>
      <c r="W39" s="123" t="str">
        <f>VLOOKUP(D39,Poeng!$B$10:$BK$252,Poeng!BK$1,FALSE)</f>
        <v>N/A</v>
      </c>
      <c r="X39" s="81"/>
      <c r="Y39" s="80"/>
      <c r="Z39" s="738"/>
      <c r="AA39" s="133"/>
      <c r="AB39" s="683" t="s">
        <v>13</v>
      </c>
      <c r="AC39" s="107">
        <f t="shared" si="0"/>
        <v>1</v>
      </c>
      <c r="AD39" s="3" t="e">
        <f>VLOOKUP(K39,'Assessment Details'!$O$45:$P$48,2,FALSE)</f>
        <v>#N/A</v>
      </c>
      <c r="AE39" s="3" t="e">
        <f>VLOOKUP(R39,'Assessment Details'!$O$45:$P$48,2,FALSE)</f>
        <v>#N/A</v>
      </c>
      <c r="AF39" s="3" t="e">
        <f>VLOOKUP(Y39,'Assessment Details'!$O$45:$P$48,2,FALSE)</f>
        <v>#N/A</v>
      </c>
      <c r="AI39" s="70" t="str">
        <f>ais_ja</f>
        <v>Ja</v>
      </c>
      <c r="AJ39" s="671" t="s">
        <v>114</v>
      </c>
      <c r="AK39" s="651" t="s">
        <v>442</v>
      </c>
      <c r="AL39" s="651" t="s">
        <v>440</v>
      </c>
      <c r="AM39" s="651" t="s">
        <v>441</v>
      </c>
      <c r="AN39" s="651" t="s">
        <v>455</v>
      </c>
      <c r="AO39" s="651" t="s">
        <v>454</v>
      </c>
      <c r="AP39" s="651" t="s">
        <v>456</v>
      </c>
      <c r="AR39" s="1" t="str">
        <f>IF($AJ$8=ais_nei,AIS_NA,"No")</f>
        <v>No</v>
      </c>
      <c r="AS39" s="23" t="str">
        <f t="shared" ref="AS39:AX39" si="4">IF(OR($AJ$4=ais_nei,$AJ$8=ais_nei),AIS_NA,IF(AK39="",AIS_NA,AK39))</f>
        <v>N/A</v>
      </c>
      <c r="AT39" s="23" t="str">
        <f t="shared" si="4"/>
        <v>N/A</v>
      </c>
      <c r="AU39" s="23" t="str">
        <f t="shared" si="4"/>
        <v>N/A</v>
      </c>
      <c r="AV39" s="23" t="str">
        <f t="shared" si="4"/>
        <v>N/A</v>
      </c>
      <c r="AW39" s="23" t="str">
        <f t="shared" si="4"/>
        <v>N/A</v>
      </c>
      <c r="AX39" s="23" t="str">
        <f t="shared" si="4"/>
        <v>N/A</v>
      </c>
      <c r="AZ39" s="640"/>
    </row>
    <row r="40" spans="1:58" x14ac:dyDescent="0.25">
      <c r="A40" s="1076">
        <v>31</v>
      </c>
      <c r="B40" s="1077" t="s">
        <v>64</v>
      </c>
      <c r="C40" s="1082" t="str">
        <f>C39</f>
        <v>Hea 01</v>
      </c>
      <c r="D40" s="824" t="s">
        <v>727</v>
      </c>
      <c r="E40" s="861" t="str">
        <f>VLOOKUP(D40,Poeng!$B$10:$R$252,Poeng!E$1,FALSE)</f>
        <v>Pre-requisite: limitation of light flicker and stroboscopic effect</v>
      </c>
      <c r="F40" s="122" t="str">
        <f>VLOOKUP(D40,Poeng!$B$10:$AB$252,Poeng!AB$1,FALSE)</f>
        <v>Yes/No</v>
      </c>
      <c r="G40" s="43"/>
      <c r="H40" s="123" t="str">
        <f>VLOOKUP(D40,Poeng!$B$10:$AE$252,Poeng!AE$1,FALSE)</f>
        <v>-</v>
      </c>
      <c r="I40" s="124" t="str">
        <f>VLOOKUP(D40,Poeng!$B$10:$BE$252,Poeng!BE$1,FALSE)</f>
        <v>Unclassified</v>
      </c>
      <c r="J40" s="1119"/>
      <c r="K40" s="1120"/>
      <c r="L40" s="1121"/>
      <c r="M40" s="815"/>
      <c r="N40" s="83"/>
      <c r="O40" s="123" t="str">
        <f>VLOOKUP(D40,Poeng!$B$10:$BC$252,Poeng!AF$1,FALSE)</f>
        <v>-</v>
      </c>
      <c r="P40" s="123" t="str">
        <f>VLOOKUP(D40,Poeng!$B$10:$BH$252,Poeng!BH$1,FALSE)</f>
        <v>Unclassified</v>
      </c>
      <c r="Q40" s="744"/>
      <c r="R40" s="745"/>
      <c r="S40" s="738"/>
      <c r="T40" s="319"/>
      <c r="U40" s="83"/>
      <c r="V40" s="123" t="str">
        <f>VLOOKUP(D40,Poeng!$B$10:$BC$252,Poeng!AG$1,FALSE)</f>
        <v>-</v>
      </c>
      <c r="W40" s="123" t="str">
        <f>VLOOKUP(D40,Poeng!$B$10:$BK$252,Poeng!BK$1,FALSE)</f>
        <v>Unclassified</v>
      </c>
      <c r="X40" s="81"/>
      <c r="Y40" s="80"/>
      <c r="Z40" s="738"/>
      <c r="AA40" s="133"/>
      <c r="AB40" s="683"/>
      <c r="AC40" s="107">
        <f t="shared" ref="AC40" si="5">IF(F40="",1,IF(F40=0,2,1))</f>
        <v>1</v>
      </c>
      <c r="AD40" s="3" t="e">
        <f>VLOOKUP(K40,'Assessment Details'!$O$45:$P$48,2,FALSE)</f>
        <v>#N/A</v>
      </c>
      <c r="AE40" s="3" t="e">
        <f>VLOOKUP(R40,'Assessment Details'!$O$45:$P$48,2,FALSE)</f>
        <v>#N/A</v>
      </c>
      <c r="AF40" s="3" t="e">
        <f>VLOOKUP(Y40,'Assessment Details'!$O$45:$P$48,2,FALSE)</f>
        <v>#N/A</v>
      </c>
      <c r="AI40" s="70"/>
      <c r="AJ40" s="671"/>
      <c r="AK40" s="651"/>
      <c r="AL40" s="651"/>
      <c r="AM40" s="651"/>
      <c r="AN40" s="651"/>
      <c r="AO40" s="651"/>
      <c r="AP40" s="651"/>
      <c r="AS40" s="23"/>
      <c r="AT40" s="23"/>
      <c r="AU40" s="23"/>
      <c r="AV40" s="23"/>
      <c r="AW40" s="23"/>
      <c r="AX40" s="23"/>
      <c r="AZ40" s="640"/>
    </row>
    <row r="41" spans="1:58" x14ac:dyDescent="0.25">
      <c r="A41" s="1076">
        <v>32</v>
      </c>
      <c r="B41" s="1077" t="s">
        <v>64</v>
      </c>
      <c r="C41" s="1082" t="str">
        <f>C40</f>
        <v>Hea 01</v>
      </c>
      <c r="D41" s="824" t="s">
        <v>1046</v>
      </c>
      <c r="E41" s="861" t="str">
        <f>VLOOKUP(D41,Poeng!$B$10:$R$252,Poeng!E$1,FALSE)</f>
        <v>Pre-requisite: daylight assessments</v>
      </c>
      <c r="F41" s="122" t="str">
        <f>VLOOKUP(D41,Poeng!$B$10:$AB$252,Poeng!AB$1,FALSE)</f>
        <v>Yes/No</v>
      </c>
      <c r="G41" s="43"/>
      <c r="H41" s="123" t="str">
        <f>VLOOKUP(D41,Poeng!$B$10:$AE$252,Poeng!AE$1,FALSE)</f>
        <v>-</v>
      </c>
      <c r="I41" s="124" t="str">
        <f>VLOOKUP(D41,Poeng!$B$10:$BE$252,Poeng!BE$1,FALSE)</f>
        <v>Unclassified</v>
      </c>
      <c r="J41" s="1119"/>
      <c r="K41" s="1120"/>
      <c r="L41" s="1121"/>
      <c r="M41" s="815"/>
      <c r="N41" s="83"/>
      <c r="O41" s="123" t="str">
        <f>VLOOKUP(D41,Poeng!$B$10:$BC$252,Poeng!AF$1,FALSE)</f>
        <v>-</v>
      </c>
      <c r="P41" s="123" t="str">
        <f>VLOOKUP(D41,Poeng!$B$10:$BH$252,Poeng!BH$1,FALSE)</f>
        <v>Unclassified</v>
      </c>
      <c r="Q41" s="744"/>
      <c r="R41" s="745"/>
      <c r="S41" s="738"/>
      <c r="T41" s="319"/>
      <c r="U41" s="83"/>
      <c r="V41" s="123" t="str">
        <f>VLOOKUP(D41,Poeng!$B$10:$BC$252,Poeng!AG$1,FALSE)</f>
        <v>-</v>
      </c>
      <c r="W41" s="123" t="str">
        <f>VLOOKUP(D41,Poeng!$B$10:$BK$252,Poeng!BK$1,FALSE)</f>
        <v>Unclassified</v>
      </c>
      <c r="X41" s="81"/>
      <c r="Y41" s="80"/>
      <c r="Z41" s="738"/>
      <c r="AA41" s="133"/>
      <c r="AB41" s="683"/>
      <c r="AC41" s="107">
        <f t="shared" ref="AC41" si="6">IF(F41="",1,IF(F41=0,2,1))</f>
        <v>1</v>
      </c>
      <c r="AD41" s="3" t="e">
        <f>VLOOKUP(K41,'Assessment Details'!$O$45:$P$48,2,FALSE)</f>
        <v>#N/A</v>
      </c>
      <c r="AE41" s="3" t="e">
        <f>VLOOKUP(R41,'Assessment Details'!$O$45:$P$48,2,FALSE)</f>
        <v>#N/A</v>
      </c>
      <c r="AF41" s="3" t="e">
        <f>VLOOKUP(Y41,'Assessment Details'!$O$45:$P$48,2,FALSE)</f>
        <v>#N/A</v>
      </c>
      <c r="AI41" s="70"/>
      <c r="AJ41" s="671"/>
      <c r="AK41" s="651"/>
      <c r="AL41" s="651"/>
      <c r="AM41" s="651"/>
      <c r="AN41" s="651"/>
      <c r="AO41" s="651"/>
      <c r="AP41" s="651"/>
      <c r="AS41" s="23"/>
      <c r="AT41" s="23"/>
      <c r="AU41" s="23"/>
      <c r="AV41" s="23"/>
      <c r="AW41" s="23"/>
      <c r="AX41" s="23"/>
      <c r="AZ41" s="640"/>
    </row>
    <row r="42" spans="1:58" x14ac:dyDescent="0.25">
      <c r="A42" s="1076">
        <v>33</v>
      </c>
      <c r="B42" s="1077" t="s">
        <v>64</v>
      </c>
      <c r="C42" s="1082" t="str">
        <f>C39</f>
        <v>Hea 01</v>
      </c>
      <c r="D42" s="824" t="s">
        <v>728</v>
      </c>
      <c r="E42" s="861" t="str">
        <f>VLOOKUP(D42,Poeng!$B$10:$R$252,Poeng!E$1,FALSE)</f>
        <v>Daylighting</v>
      </c>
      <c r="F42" s="122">
        <f>VLOOKUP(D42,Poeng!$B$10:$AB$252,Poeng!AB$1,FALSE)</f>
        <v>3</v>
      </c>
      <c r="G42" s="43"/>
      <c r="H42" s="123">
        <f>VLOOKUP(D42,Poeng!$B$10:$AE$252,Poeng!AE$1,FALSE)</f>
        <v>0</v>
      </c>
      <c r="I42" s="124" t="str">
        <f>VLOOKUP(D42,Poeng!$B$10:$BE$252,Poeng!BE$1,FALSE)</f>
        <v>N/A</v>
      </c>
      <c r="J42" s="80"/>
      <c r="K42" s="281"/>
      <c r="L42" s="796"/>
      <c r="M42" s="816"/>
      <c r="N42" s="83"/>
      <c r="O42" s="123">
        <f>VLOOKUP(D42,Poeng!$B$10:$BC$252,Poeng!AF$1,FALSE)</f>
        <v>0</v>
      </c>
      <c r="P42" s="123" t="str">
        <f>VLOOKUP(D42,Poeng!$B$10:$BH$252,Poeng!BH$1,FALSE)</f>
        <v>N/A</v>
      </c>
      <c r="Q42" s="744"/>
      <c r="R42" s="745"/>
      <c r="S42" s="738"/>
      <c r="T42" s="319"/>
      <c r="U42" s="83"/>
      <c r="V42" s="123">
        <f>VLOOKUP(D42,Poeng!$B$10:$BC$252,Poeng!AG$1,FALSE)</f>
        <v>0</v>
      </c>
      <c r="W42" s="123" t="str">
        <f>VLOOKUP(D42,Poeng!$B$10:$BK$252,Poeng!BK$1,FALSE)</f>
        <v>N/A</v>
      </c>
      <c r="X42" s="81"/>
      <c r="Y42" s="80"/>
      <c r="Z42" s="738"/>
      <c r="AA42" s="133"/>
      <c r="AB42" s="683"/>
      <c r="AC42" s="107">
        <f t="shared" si="0"/>
        <v>1</v>
      </c>
      <c r="AD42" s="3" t="e">
        <f>VLOOKUP(K42,'Assessment Details'!$O$45:$P$48,2,FALSE)</f>
        <v>#N/A</v>
      </c>
      <c r="AE42" s="3" t="e">
        <f>VLOOKUP(R42,'Assessment Details'!$O$45:$P$48,2,FALSE)</f>
        <v>#N/A</v>
      </c>
      <c r="AF42" s="3" t="e">
        <f>VLOOKUP(Y42,'Assessment Details'!$O$45:$P$48,2,FALSE)</f>
        <v>#N/A</v>
      </c>
      <c r="AI42" s="70"/>
      <c r="AJ42" s="671"/>
      <c r="AK42" s="651"/>
      <c r="AL42" s="651"/>
      <c r="AM42" s="651"/>
      <c r="AN42" s="651"/>
      <c r="AO42" s="651"/>
      <c r="AP42" s="651"/>
      <c r="AS42" s="23"/>
      <c r="AT42" s="23"/>
      <c r="AU42" s="23"/>
      <c r="AV42" s="23"/>
      <c r="AW42" s="23"/>
      <c r="AX42" s="23"/>
      <c r="AZ42" s="640"/>
    </row>
    <row r="43" spans="1:58" x14ac:dyDescent="0.25">
      <c r="A43" s="1076">
        <v>34</v>
      </c>
      <c r="B43" s="1077" t="s">
        <v>64</v>
      </c>
      <c r="C43" s="1082" t="str">
        <f t="shared" ref="C43:C102" si="7">C42</f>
        <v>Hea 01</v>
      </c>
      <c r="D43" s="824" t="s">
        <v>729</v>
      </c>
      <c r="E43" s="861" t="str">
        <f>VLOOKUP(D43,Poeng!$B$10:$R$252,Poeng!E$1,FALSE)</f>
        <v xml:space="preserve">Control of glare from sunlight </v>
      </c>
      <c r="F43" s="122">
        <f>VLOOKUP(D43,Poeng!$B$10:$AB$252,Poeng!AB$1,FALSE)</f>
        <v>1</v>
      </c>
      <c r="G43" s="43"/>
      <c r="H43" s="123">
        <f>VLOOKUP(D43,Poeng!$B$10:$AE$252,Poeng!AE$1,FALSE)</f>
        <v>0</v>
      </c>
      <c r="I43" s="124" t="str">
        <f>VLOOKUP(D43,Poeng!$B$10:$BE$252,Poeng!BE$1,FALSE)</f>
        <v>N/A</v>
      </c>
      <c r="J43" s="80"/>
      <c r="K43" s="281"/>
      <c r="L43" s="796"/>
      <c r="M43" s="816"/>
      <c r="N43" s="83"/>
      <c r="O43" s="123">
        <f>VLOOKUP(D43,Poeng!$B$10:$BC$252,Poeng!AF$1,FALSE)</f>
        <v>0</v>
      </c>
      <c r="P43" s="123" t="str">
        <f>VLOOKUP(D43,Poeng!$B$10:$BH$252,Poeng!BH$1,FALSE)</f>
        <v>N/A</v>
      </c>
      <c r="Q43" s="744"/>
      <c r="R43" s="745"/>
      <c r="S43" s="738"/>
      <c r="T43" s="319"/>
      <c r="U43" s="83"/>
      <c r="V43" s="123">
        <f>VLOOKUP(D43,Poeng!$B$10:$BC$252,Poeng!AG$1,FALSE)</f>
        <v>0</v>
      </c>
      <c r="W43" s="123" t="str">
        <f>VLOOKUP(D43,Poeng!$B$10:$BK$252,Poeng!BK$1,FALSE)</f>
        <v>N/A</v>
      </c>
      <c r="X43" s="81"/>
      <c r="Y43" s="80"/>
      <c r="Z43" s="738"/>
      <c r="AA43" s="133"/>
      <c r="AB43" s="683"/>
      <c r="AC43" s="107">
        <f t="shared" si="0"/>
        <v>1</v>
      </c>
      <c r="AD43" s="3" t="e">
        <f>VLOOKUP(K43,'Assessment Details'!$O$45:$P$48,2,FALSE)</f>
        <v>#N/A</v>
      </c>
      <c r="AE43" s="3" t="e">
        <f>VLOOKUP(R43,'Assessment Details'!$O$45:$P$48,2,FALSE)</f>
        <v>#N/A</v>
      </c>
      <c r="AF43" s="3" t="e">
        <f>VLOOKUP(Y43,'Assessment Details'!$O$45:$P$48,2,FALSE)</f>
        <v>#N/A</v>
      </c>
      <c r="AI43" s="70"/>
      <c r="AJ43" s="671"/>
      <c r="AK43" s="651"/>
      <c r="AL43" s="651"/>
      <c r="AM43" s="651"/>
      <c r="AN43" s="651"/>
      <c r="AO43" s="651"/>
      <c r="AP43" s="651"/>
      <c r="AS43" s="23"/>
      <c r="AT43" s="23"/>
      <c r="AU43" s="23"/>
      <c r="AV43" s="23"/>
      <c r="AW43" s="23"/>
      <c r="AX43" s="23"/>
      <c r="AZ43" s="640"/>
    </row>
    <row r="44" spans="1:58" x14ac:dyDescent="0.25">
      <c r="A44" s="1076">
        <v>35</v>
      </c>
      <c r="B44" s="1077" t="s">
        <v>64</v>
      </c>
      <c r="C44" s="1082" t="str">
        <f t="shared" si="7"/>
        <v>Hea 01</v>
      </c>
      <c r="D44" s="824" t="s">
        <v>730</v>
      </c>
      <c r="E44" s="861" t="str">
        <f>VLOOKUP(D44,Poeng!$B$10:$R$252,Poeng!E$1,FALSE)</f>
        <v xml:space="preserve">View out </v>
      </c>
      <c r="F44" s="122">
        <f>VLOOKUP(D44,Poeng!$B$10:$AB$252,Poeng!AB$1,FALSE)</f>
        <v>1</v>
      </c>
      <c r="G44" s="43"/>
      <c r="H44" s="123">
        <f>VLOOKUP(D44,Poeng!$B$10:$AE$252,Poeng!AE$1,FALSE)</f>
        <v>0</v>
      </c>
      <c r="I44" s="124" t="str">
        <f>VLOOKUP(D44,Poeng!$B$10:$BE$252,Poeng!BE$1,FALSE)</f>
        <v>N/A</v>
      </c>
      <c r="J44" s="80"/>
      <c r="K44" s="281"/>
      <c r="L44" s="796"/>
      <c r="M44" s="816"/>
      <c r="N44" s="83"/>
      <c r="O44" s="123">
        <f>VLOOKUP(D44,Poeng!$B$10:$BC$252,Poeng!AF$1,FALSE)</f>
        <v>0</v>
      </c>
      <c r="P44" s="123" t="str">
        <f>VLOOKUP(D44,Poeng!$B$10:$BH$252,Poeng!BH$1,FALSE)</f>
        <v>N/A</v>
      </c>
      <c r="Q44" s="744"/>
      <c r="R44" s="745"/>
      <c r="S44" s="1095"/>
      <c r="T44" s="319"/>
      <c r="U44" s="83"/>
      <c r="V44" s="123">
        <f>VLOOKUP(D44,Poeng!$B$10:$BC$252,Poeng!AG$1,FALSE)</f>
        <v>0</v>
      </c>
      <c r="W44" s="123" t="str">
        <f>VLOOKUP(D44,Poeng!$B$10:$BK$252,Poeng!BK$1,FALSE)</f>
        <v>N/A</v>
      </c>
      <c r="X44" s="81"/>
      <c r="Y44" s="80"/>
      <c r="Z44" s="1095"/>
      <c r="AA44" s="133"/>
      <c r="AB44" s="683"/>
      <c r="AC44" s="107">
        <f t="shared" si="0"/>
        <v>1</v>
      </c>
      <c r="AD44" s="3" t="e">
        <f>VLOOKUP(K44,'Assessment Details'!$O$45:$P$48,2,FALSE)</f>
        <v>#N/A</v>
      </c>
      <c r="AE44" s="3" t="e">
        <f>VLOOKUP(R44,'Assessment Details'!$O$45:$P$48,2,FALSE)</f>
        <v>#N/A</v>
      </c>
      <c r="AF44" s="3" t="e">
        <f>VLOOKUP(Y44,'Assessment Details'!$O$45:$P$48,2,FALSE)</f>
        <v>#N/A</v>
      </c>
      <c r="AI44" s="70"/>
      <c r="AJ44" s="671"/>
      <c r="AK44" s="651"/>
      <c r="AL44" s="651"/>
      <c r="AM44" s="651"/>
      <c r="AN44" s="651"/>
      <c r="AO44" s="651"/>
      <c r="AP44" s="651"/>
      <c r="AS44" s="23"/>
      <c r="AT44" s="23"/>
      <c r="AU44" s="23"/>
      <c r="AV44" s="23"/>
      <c r="AW44" s="23"/>
      <c r="AX44" s="23"/>
      <c r="AZ44" s="640"/>
    </row>
    <row r="45" spans="1:58" x14ac:dyDescent="0.25">
      <c r="A45" s="1076">
        <v>36</v>
      </c>
      <c r="B45" s="1077" t="s">
        <v>64</v>
      </c>
      <c r="C45" s="1082" t="str">
        <f t="shared" si="7"/>
        <v>Hea 01</v>
      </c>
      <c r="D45" s="824" t="s">
        <v>731</v>
      </c>
      <c r="E45" s="861" t="str">
        <f>VLOOKUP(D45,Poeng!$B$10:$R$252,Poeng!E$1,FALSE)</f>
        <v xml:space="preserve">Sunlight </v>
      </c>
      <c r="F45" s="122">
        <f>VLOOKUP(D45,Poeng!$B$10:$AB$252,Poeng!AB$1,FALSE)</f>
        <v>1</v>
      </c>
      <c r="G45" s="43"/>
      <c r="H45" s="123">
        <f>VLOOKUP(D45,Poeng!$B$10:$AE$252,Poeng!AE$1,FALSE)</f>
        <v>0</v>
      </c>
      <c r="I45" s="124" t="str">
        <f>VLOOKUP(D45,Poeng!$B$10:$BE$252,Poeng!BE$1,FALSE)</f>
        <v>N/A</v>
      </c>
      <c r="J45" s="80"/>
      <c r="K45" s="281"/>
      <c r="L45" s="796"/>
      <c r="M45" s="816"/>
      <c r="N45" s="83"/>
      <c r="O45" s="123">
        <f>VLOOKUP(D45,Poeng!$B$10:$BC$252,Poeng!AF$1,FALSE)</f>
        <v>0</v>
      </c>
      <c r="P45" s="123" t="str">
        <f>VLOOKUP(D45,Poeng!$B$10:$BH$252,Poeng!BH$1,FALSE)</f>
        <v>N/A</v>
      </c>
      <c r="Q45" s="744"/>
      <c r="R45" s="745"/>
      <c r="S45" s="1095"/>
      <c r="T45" s="319"/>
      <c r="U45" s="83"/>
      <c r="V45" s="123">
        <f>VLOOKUP(D45,Poeng!$B$10:$BC$252,Poeng!AG$1,FALSE)</f>
        <v>0</v>
      </c>
      <c r="W45" s="123" t="str">
        <f>VLOOKUP(D45,Poeng!$B$10:$BK$252,Poeng!BK$1,FALSE)</f>
        <v>N/A</v>
      </c>
      <c r="X45" s="81"/>
      <c r="Y45" s="80"/>
      <c r="Z45" s="1095"/>
      <c r="AA45" s="133"/>
      <c r="AB45" s="683"/>
      <c r="AC45" s="107">
        <f t="shared" si="0"/>
        <v>1</v>
      </c>
      <c r="AD45" s="3" t="e">
        <f>VLOOKUP(K45,'Assessment Details'!$O$45:$P$48,2,FALSE)</f>
        <v>#N/A</v>
      </c>
      <c r="AE45" s="3" t="e">
        <f>VLOOKUP(R45,'Assessment Details'!$O$45:$P$48,2,FALSE)</f>
        <v>#N/A</v>
      </c>
      <c r="AF45" s="3" t="e">
        <f>VLOOKUP(Y45,'Assessment Details'!$O$45:$P$48,2,FALSE)</f>
        <v>#N/A</v>
      </c>
      <c r="AI45" s="70"/>
      <c r="AJ45" s="671"/>
      <c r="AK45" s="651"/>
      <c r="AL45" s="651"/>
      <c r="AM45" s="651"/>
      <c r="AN45" s="651"/>
      <c r="AO45" s="651"/>
      <c r="AP45" s="651"/>
      <c r="AS45" s="23"/>
      <c r="AT45" s="23"/>
      <c r="AU45" s="23"/>
      <c r="AV45" s="23"/>
      <c r="AW45" s="23"/>
      <c r="AX45" s="23"/>
      <c r="AZ45" s="640"/>
    </row>
    <row r="46" spans="1:58" x14ac:dyDescent="0.25">
      <c r="A46" s="1076">
        <v>37</v>
      </c>
      <c r="B46" s="1077" t="s">
        <v>64</v>
      </c>
      <c r="C46" s="1082" t="str">
        <f t="shared" si="7"/>
        <v>Hea 01</v>
      </c>
      <c r="D46" s="824" t="s">
        <v>955</v>
      </c>
      <c r="E46" s="861" t="str">
        <f>VLOOKUP(D46,Poeng!$B$10:$R$252,Poeng!E$1,FALSE)</f>
        <v xml:space="preserve">Internal and external lighting levels, zoning and control </v>
      </c>
      <c r="F46" s="122">
        <f>VLOOKUP(D46,Poeng!$B$10:$AB$252,Poeng!AB$1,FALSE)</f>
        <v>1</v>
      </c>
      <c r="G46" s="43"/>
      <c r="H46" s="123">
        <f>VLOOKUP(D46,Poeng!$B$10:$AE$252,Poeng!AE$1,FALSE)</f>
        <v>0</v>
      </c>
      <c r="I46" s="124" t="str">
        <f>VLOOKUP(D46,Poeng!$B$10:$BE$252,Poeng!BE$1,FALSE)</f>
        <v>N/A</v>
      </c>
      <c r="J46" s="80"/>
      <c r="K46" s="281"/>
      <c r="L46" s="796"/>
      <c r="M46" s="816"/>
      <c r="N46" s="83"/>
      <c r="O46" s="123">
        <f>VLOOKUP(D46,Poeng!$B$10:$BC$252,Poeng!AF$1,FALSE)</f>
        <v>0</v>
      </c>
      <c r="P46" s="123" t="str">
        <f>VLOOKUP(D46,Poeng!$B$10:$BH$252,Poeng!BH$1,FALSE)</f>
        <v>N/A</v>
      </c>
      <c r="Q46" s="744"/>
      <c r="R46" s="745"/>
      <c r="S46" s="738"/>
      <c r="T46" s="319"/>
      <c r="U46" s="83"/>
      <c r="V46" s="123">
        <f>VLOOKUP(D46,Poeng!$B$10:$BC$252,Poeng!AG$1,FALSE)</f>
        <v>0</v>
      </c>
      <c r="W46" s="123" t="str">
        <f>VLOOKUP(D46,Poeng!$B$10:$BK$252,Poeng!BK$1,FALSE)</f>
        <v>N/A</v>
      </c>
      <c r="X46" s="81"/>
      <c r="Y46" s="80"/>
      <c r="Z46" s="738"/>
      <c r="AA46" s="133"/>
      <c r="AB46" s="683"/>
      <c r="AC46" s="107">
        <f t="shared" si="0"/>
        <v>1</v>
      </c>
      <c r="AD46" s="3" t="e">
        <f>VLOOKUP(K46,'Assessment Details'!$O$45:$P$48,2,FALSE)</f>
        <v>#N/A</v>
      </c>
      <c r="AE46" s="3" t="e">
        <f>VLOOKUP(R46,'Assessment Details'!$O$45:$P$48,2,FALSE)</f>
        <v>#N/A</v>
      </c>
      <c r="AF46" s="3" t="e">
        <f>VLOOKUP(Y46,'Assessment Details'!$O$45:$P$48,2,FALSE)</f>
        <v>#N/A</v>
      </c>
      <c r="AI46" s="70"/>
      <c r="AJ46" s="671"/>
      <c r="AK46" s="651"/>
      <c r="AL46" s="651"/>
      <c r="AM46" s="651"/>
      <c r="AN46" s="651"/>
      <c r="AO46" s="651"/>
      <c r="AP46" s="651"/>
      <c r="AS46" s="23"/>
      <c r="AT46" s="23"/>
      <c r="AU46" s="23"/>
      <c r="AV46" s="23"/>
      <c r="AW46" s="23"/>
      <c r="AX46" s="23"/>
      <c r="AZ46" s="640"/>
    </row>
    <row r="47" spans="1:58" ht="14.25" customHeight="1" x14ac:dyDescent="0.25">
      <c r="A47" s="1076">
        <v>38</v>
      </c>
      <c r="B47" s="1077" t="s">
        <v>64</v>
      </c>
      <c r="C47" s="924" t="s">
        <v>117</v>
      </c>
      <c r="D47" s="824" t="s">
        <v>117</v>
      </c>
      <c r="E47" s="860" t="str">
        <f>VLOOKUP(D47,Poeng!$B$10:$R$252,Poeng!E$1,FALSE)</f>
        <v>Hea 02 Indoor air quality</v>
      </c>
      <c r="F47" s="865">
        <f>VLOOKUP(D47,Poeng!$B$10:$AB$252,Poeng!AB$1,FALSE)</f>
        <v>4</v>
      </c>
      <c r="G47" s="1001"/>
      <c r="H47" s="866" t="str">
        <f>VLOOKUP(D47,Poeng!$B$10:$AI$252,Poeng!AI$1,FALSE)&amp;" c. "&amp;ROUND(VLOOKUP(D47,Poeng!$B$10:$AE$252,Poeng!AE$1,FALSE)*100,1)&amp;" %"</f>
        <v>0 c. 0 %</v>
      </c>
      <c r="I47" s="924" t="str">
        <f>VLOOKUP(D47,Poeng!$B$10:$BE$252,Poeng!BE$1,FALSE)</f>
        <v>N/A</v>
      </c>
      <c r="J47" s="80"/>
      <c r="K47" s="281"/>
      <c r="L47" s="796"/>
      <c r="M47" s="816"/>
      <c r="N47" s="1001"/>
      <c r="O47" s="877" t="str">
        <f>VLOOKUP(D47,Poeng!$B$10:$BC$252,Poeng!AJ$1,FALSE)&amp;" c. "&amp;ROUND(VLOOKUP(D47,Poeng!$B$10:$BC$252,Poeng!AF$1,FALSE)*100,1)&amp;" %"</f>
        <v>0 c. 0 %</v>
      </c>
      <c r="P47" s="123" t="str">
        <f>VLOOKUP(D47,Poeng!$B$10:$BH$252,Poeng!BH$1,FALSE)</f>
        <v>N/A</v>
      </c>
      <c r="Q47" s="744"/>
      <c r="R47" s="745"/>
      <c r="S47" s="738"/>
      <c r="T47" s="319"/>
      <c r="U47" s="1001"/>
      <c r="V47" s="877" t="str">
        <f>VLOOKUP(D47,Poeng!$B$10:$BC$252,Poeng!AK$1,FALSE)&amp;" c. "&amp;ROUND(VLOOKUP(D47,Poeng!$B$10:$BC$252,Poeng!AG$1,FALSE)*100,1)&amp;" %"</f>
        <v>0 c. 0 %</v>
      </c>
      <c r="W47" s="123" t="str">
        <f>VLOOKUP(D47,Poeng!$B$10:$BK$252,Poeng!BK$1,FALSE)</f>
        <v>N/A</v>
      </c>
      <c r="X47" s="81"/>
      <c r="Y47" s="80"/>
      <c r="Z47" s="738"/>
      <c r="AA47" s="133"/>
      <c r="AB47" s="640" t="s">
        <v>445</v>
      </c>
      <c r="AC47" s="107">
        <f t="shared" si="0"/>
        <v>1</v>
      </c>
      <c r="AD47" s="3" t="e">
        <f>VLOOKUP(K47,'Assessment Details'!$O$45:$P$48,2,FALSE)</f>
        <v>#N/A</v>
      </c>
      <c r="AE47" s="3" t="e">
        <f>VLOOKUP(R47,'Assessment Details'!$O$45:$P$48,2,FALSE)</f>
        <v>#N/A</v>
      </c>
      <c r="AF47" s="3" t="e">
        <f>VLOOKUP(Y47,'Assessment Details'!$O$45:$P$48,2,FALSE)</f>
        <v>#N/A</v>
      </c>
      <c r="AI47" s="70" t="str">
        <f>ais_ja</f>
        <v>Ja</v>
      </c>
      <c r="AJ47" s="671" t="s">
        <v>111</v>
      </c>
      <c r="AK47" s="651" t="s">
        <v>443</v>
      </c>
      <c r="AL47" s="651" t="s">
        <v>444</v>
      </c>
      <c r="AM47" s="651" t="s">
        <v>445</v>
      </c>
      <c r="AN47" s="651" t="s">
        <v>446</v>
      </c>
      <c r="AO47" s="651" t="s">
        <v>437</v>
      </c>
      <c r="AP47" s="651"/>
      <c r="AR47" s="1" t="s">
        <v>13</v>
      </c>
      <c r="AS47" s="23" t="str">
        <f t="shared" si="3"/>
        <v>N/A</v>
      </c>
      <c r="AT47" s="23" t="str">
        <f t="shared" si="1"/>
        <v>N/A</v>
      </c>
      <c r="AU47" s="23" t="str">
        <f t="shared" si="2"/>
        <v>N/A</v>
      </c>
      <c r="AV47" s="23" t="str">
        <f t="shared" ref="AV47" si="8">IF($AJ$4=ais_nei,AIS_NA,IF(AN47="",AIS_NA,AN47))</f>
        <v>N/A</v>
      </c>
      <c r="AW47" s="23" t="str">
        <f t="shared" ref="AW47" si="9">IF($AJ$4=ais_nei,AIS_NA,IF(AO47="",AIS_NA,AO47))</f>
        <v>N/A</v>
      </c>
      <c r="AX47" s="23"/>
      <c r="AZ47" s="640"/>
    </row>
    <row r="48" spans="1:58" x14ac:dyDescent="0.25">
      <c r="A48" s="1076">
        <v>39</v>
      </c>
      <c r="B48" s="1077" t="s">
        <v>64</v>
      </c>
      <c r="C48" s="1082" t="str">
        <f t="shared" si="7"/>
        <v>Hea 02</v>
      </c>
      <c r="D48" s="19" t="s">
        <v>732</v>
      </c>
      <c r="E48" s="861" t="str">
        <f>VLOOKUP(D48,Poeng!$B$10:$R$252,Poeng!E$1,FALSE)</f>
        <v>Pre-requisite: A site-specific indoor air quality plan has been produced</v>
      </c>
      <c r="F48" s="122" t="str">
        <f>VLOOKUP(D48,Poeng!$B$10:$AB$252,Poeng!AB$1,FALSE)</f>
        <v>Yes/No</v>
      </c>
      <c r="G48" s="43"/>
      <c r="H48" s="123" t="str">
        <f>VLOOKUP(D48,Poeng!$B$10:$AE$252,Poeng!AE$1,FALSE)</f>
        <v>-</v>
      </c>
      <c r="I48" s="124" t="str">
        <f>VLOOKUP(D48,Poeng!$B$10:$BE$252,Poeng!BE$1,FALSE)</f>
        <v>Unclassified</v>
      </c>
      <c r="J48" s="80"/>
      <c r="K48" s="281"/>
      <c r="L48" s="796"/>
      <c r="M48" s="816"/>
      <c r="N48" s="83"/>
      <c r="O48" s="123" t="str">
        <f>VLOOKUP(D48,Poeng!$B$10:$BC$252,Poeng!AF$1,FALSE)</f>
        <v>-</v>
      </c>
      <c r="P48" s="123" t="str">
        <f>VLOOKUP(D48,Poeng!$B$10:$BH$252,Poeng!BH$1,FALSE)</f>
        <v>Unclassified</v>
      </c>
      <c r="Q48" s="744"/>
      <c r="R48" s="745"/>
      <c r="S48" s="738"/>
      <c r="T48" s="319"/>
      <c r="U48" s="83"/>
      <c r="V48" s="123" t="str">
        <f>VLOOKUP(D48,Poeng!$B$10:$BC$252,Poeng!AG$1,FALSE)</f>
        <v>-</v>
      </c>
      <c r="W48" s="123" t="str">
        <f>VLOOKUP(D48,Poeng!$B$10:$BK$252,Poeng!BK$1,FALSE)</f>
        <v>Unclassified</v>
      </c>
      <c r="X48" s="81"/>
      <c r="Y48" s="80"/>
      <c r="Z48" s="738"/>
      <c r="AC48" s="107">
        <f t="shared" si="0"/>
        <v>1</v>
      </c>
      <c r="AD48" s="3" t="e">
        <f>VLOOKUP(K48,'Assessment Details'!$O$45:$P$48,2,FALSE)</f>
        <v>#N/A</v>
      </c>
      <c r="AE48" s="3" t="e">
        <f>VLOOKUP(R48,'Assessment Details'!$O$45:$P$48,2,FALSE)</f>
        <v>#N/A</v>
      </c>
      <c r="AF48" s="3" t="e">
        <f>VLOOKUP(Y48,'Assessment Details'!$O$45:$P$48,2,FALSE)</f>
        <v>#N/A</v>
      </c>
    </row>
    <row r="49" spans="1:52" x14ac:dyDescent="0.25">
      <c r="A49" s="1076">
        <v>40</v>
      </c>
      <c r="B49" s="1077" t="s">
        <v>64</v>
      </c>
      <c r="C49" s="1082" t="str">
        <f t="shared" si="7"/>
        <v>Hea 02</v>
      </c>
      <c r="D49" s="19" t="s">
        <v>733</v>
      </c>
      <c r="E49" s="861" t="str">
        <f>VLOOKUP(D49,Poeng!$B$10:$R$252,Poeng!E$1,FALSE)</f>
        <v>Ventilation</v>
      </c>
      <c r="F49" s="122">
        <f>VLOOKUP(D49,Poeng!$B$10:$AB$252,Poeng!AB$1,FALSE)</f>
        <v>1</v>
      </c>
      <c r="G49" s="43"/>
      <c r="H49" s="123">
        <f>VLOOKUP(D49,Poeng!$B$10:$AE$252,Poeng!AE$1,FALSE)</f>
        <v>0</v>
      </c>
      <c r="I49" s="124" t="str">
        <f>VLOOKUP(D49,Poeng!$B$10:$BE$252,Poeng!BE$1,FALSE)</f>
        <v>N/A</v>
      </c>
      <c r="J49" s="80"/>
      <c r="K49" s="281"/>
      <c r="L49" s="796"/>
      <c r="M49" s="816"/>
      <c r="N49" s="83"/>
      <c r="O49" s="123">
        <f>VLOOKUP(D49,Poeng!$B$10:$BC$252,Poeng!AF$1,FALSE)</f>
        <v>0</v>
      </c>
      <c r="P49" s="123" t="str">
        <f>VLOOKUP(D49,Poeng!$B$10:$BH$252,Poeng!BH$1,FALSE)</f>
        <v>N/A</v>
      </c>
      <c r="Q49" s="744"/>
      <c r="R49" s="745"/>
      <c r="S49" s="738"/>
      <c r="T49" s="319"/>
      <c r="U49" s="83"/>
      <c r="V49" s="123">
        <f>VLOOKUP(D49,Poeng!$B$10:$BC$252,Poeng!AG$1,FALSE)</f>
        <v>0</v>
      </c>
      <c r="W49" s="123" t="str">
        <f>VLOOKUP(D49,Poeng!$B$10:$BK$252,Poeng!BK$1,FALSE)</f>
        <v>N/A</v>
      </c>
      <c r="X49" s="81"/>
      <c r="Y49" s="80"/>
      <c r="Z49" s="738"/>
      <c r="AC49" s="107">
        <f t="shared" si="0"/>
        <v>1</v>
      </c>
      <c r="AD49" s="3" t="e">
        <f>VLOOKUP(K49,'Assessment Details'!$O$45:$P$48,2,FALSE)</f>
        <v>#N/A</v>
      </c>
      <c r="AE49" s="3" t="e">
        <f>VLOOKUP(R49,'Assessment Details'!$O$45:$P$48,2,FALSE)</f>
        <v>#N/A</v>
      </c>
      <c r="AF49" s="3" t="e">
        <f>VLOOKUP(Y49,'Assessment Details'!$O$45:$P$48,2,FALSE)</f>
        <v>#N/A</v>
      </c>
    </row>
    <row r="50" spans="1:52" ht="14.25" customHeight="1" x14ac:dyDescent="0.25">
      <c r="A50" s="1076">
        <v>41</v>
      </c>
      <c r="B50" s="1077" t="s">
        <v>64</v>
      </c>
      <c r="C50" s="1082" t="str">
        <f t="shared" si="7"/>
        <v>Hea 02</v>
      </c>
      <c r="D50" s="19" t="s">
        <v>734</v>
      </c>
      <c r="E50" s="1071" t="str">
        <f>VLOOKUP(D50,Poeng!$B$10:$R$252,Poeng!E$1,FALSE)</f>
        <v>Emissions from construction products (EU taxonomy requirement: criterion 5)</v>
      </c>
      <c r="F50" s="122">
        <f>VLOOKUP(D50,Poeng!$B$10:$AB$252,Poeng!AB$1,FALSE)</f>
        <v>2</v>
      </c>
      <c r="G50" s="43"/>
      <c r="H50" s="123">
        <f>VLOOKUP(D50,Poeng!$B$10:$AE$252,Poeng!AE$1,FALSE)</f>
        <v>0</v>
      </c>
      <c r="I50" s="124" t="str">
        <f>VLOOKUP(D50,Poeng!$B$10:$BE$252,Poeng!BE$1,FALSE)</f>
        <v>Good</v>
      </c>
      <c r="J50" s="80"/>
      <c r="K50" s="281"/>
      <c r="L50" s="796"/>
      <c r="M50" s="816"/>
      <c r="N50" s="83"/>
      <c r="O50" s="123">
        <f>VLOOKUP(D50,Poeng!$B$10:$BC$252,Poeng!AF$1,FALSE)</f>
        <v>0</v>
      </c>
      <c r="P50" s="123" t="str">
        <f>VLOOKUP(D50,Poeng!$B$10:$BH$252,Poeng!BH$1,FALSE)</f>
        <v>Good</v>
      </c>
      <c r="Q50" s="744"/>
      <c r="R50" s="745"/>
      <c r="S50" s="738"/>
      <c r="T50" s="319"/>
      <c r="U50" s="83"/>
      <c r="V50" s="123">
        <f>VLOOKUP(D50,Poeng!$B$10:$BC$252,Poeng!AG$1,FALSE)</f>
        <v>0</v>
      </c>
      <c r="W50" s="123" t="str">
        <f>VLOOKUP(D50,Poeng!$B$10:$BK$252,Poeng!BK$1,FALSE)</f>
        <v>Good</v>
      </c>
      <c r="X50" s="81"/>
      <c r="Y50" s="80"/>
      <c r="Z50" s="738"/>
      <c r="AC50" s="107">
        <f t="shared" si="0"/>
        <v>1</v>
      </c>
      <c r="AD50" s="3" t="e">
        <f>VLOOKUP(K50,'Assessment Details'!$O$45:$P$48,2,FALSE)</f>
        <v>#N/A</v>
      </c>
      <c r="AE50" s="3" t="e">
        <f>VLOOKUP(R50,'Assessment Details'!$O$45:$P$48,2,FALSE)</f>
        <v>#N/A</v>
      </c>
      <c r="AF50" s="3" t="e">
        <f>VLOOKUP(Y50,'Assessment Details'!$O$45:$P$48,2,FALSE)</f>
        <v>#N/A</v>
      </c>
    </row>
    <row r="51" spans="1:52" x14ac:dyDescent="0.25">
      <c r="A51" s="1076">
        <v>42</v>
      </c>
      <c r="B51" s="1077" t="s">
        <v>64</v>
      </c>
      <c r="C51" s="1082" t="str">
        <f t="shared" si="7"/>
        <v>Hea 02</v>
      </c>
      <c r="D51" s="19" t="s">
        <v>735</v>
      </c>
      <c r="E51" s="861" t="str">
        <f>VLOOKUP(D51,Poeng!$B$10:$R$252,Poeng!E$1,FALSE)</f>
        <v xml:space="preserve">Post-construction indoor air quality measurement </v>
      </c>
      <c r="F51" s="122">
        <f>VLOOKUP(D51,Poeng!$B$10:$AB$252,Poeng!AB$1,FALSE)</f>
        <v>1</v>
      </c>
      <c r="G51" s="43"/>
      <c r="H51" s="123">
        <f>VLOOKUP(D51,Poeng!$B$10:$AE$252,Poeng!AE$1,FALSE)</f>
        <v>0</v>
      </c>
      <c r="I51" s="124" t="str">
        <f>VLOOKUP(D51,Poeng!$B$10:$BE$252,Poeng!BE$1,FALSE)</f>
        <v>N/A</v>
      </c>
      <c r="J51" s="80"/>
      <c r="K51" s="281"/>
      <c r="L51" s="796"/>
      <c r="M51" s="816"/>
      <c r="N51" s="83"/>
      <c r="O51" s="123">
        <f>VLOOKUP(D51,Poeng!$B$10:$BC$252,Poeng!AF$1,FALSE)</f>
        <v>0</v>
      </c>
      <c r="P51" s="123" t="str">
        <f>VLOOKUP(D51,Poeng!$B$10:$BH$252,Poeng!BH$1,FALSE)</f>
        <v>N/A</v>
      </c>
      <c r="Q51" s="744"/>
      <c r="R51" s="745"/>
      <c r="S51" s="738"/>
      <c r="T51" s="319"/>
      <c r="U51" s="83"/>
      <c r="V51" s="123">
        <f>VLOOKUP(D51,Poeng!$B$10:$BC$252,Poeng!AG$1,FALSE)</f>
        <v>0</v>
      </c>
      <c r="W51" s="123" t="str">
        <f>VLOOKUP(D51,Poeng!$B$10:$BK$252,Poeng!BK$1,FALSE)</f>
        <v>N/A</v>
      </c>
      <c r="X51" s="81"/>
      <c r="Y51" s="80"/>
      <c r="Z51" s="738"/>
      <c r="AC51" s="107">
        <f t="shared" si="0"/>
        <v>1</v>
      </c>
      <c r="AD51" s="3" t="e">
        <f>VLOOKUP(K51,'Assessment Details'!$O$45:$P$48,2,FALSE)</f>
        <v>#N/A</v>
      </c>
      <c r="AE51" s="3" t="e">
        <f>VLOOKUP(R51,'Assessment Details'!$O$45:$P$48,2,FALSE)</f>
        <v>#N/A</v>
      </c>
      <c r="AF51" s="3" t="e">
        <f>VLOOKUP(Y51,'Assessment Details'!$O$45:$P$48,2,FALSE)</f>
        <v>#N/A</v>
      </c>
    </row>
    <row r="52" spans="1:52" x14ac:dyDescent="0.25">
      <c r="A52" s="1076">
        <v>43</v>
      </c>
      <c r="B52" s="1077" t="s">
        <v>64</v>
      </c>
      <c r="C52" s="924" t="s">
        <v>118</v>
      </c>
      <c r="D52" s="824" t="s">
        <v>118</v>
      </c>
      <c r="E52" s="860" t="str">
        <f>VLOOKUP(D52,Poeng!$B$10:$R$252,Poeng!E$1,FALSE)</f>
        <v>Hea 03 Thermal comfort</v>
      </c>
      <c r="F52" s="865">
        <f>VLOOKUP(D52,Poeng!$B$10:$AB$252,Poeng!AB$1,FALSE)</f>
        <v>3</v>
      </c>
      <c r="G52" s="1001"/>
      <c r="H52" s="866" t="str">
        <f>VLOOKUP(D52,Poeng!$B$10:$AI$252,Poeng!AI$1,FALSE)&amp;" c. "&amp;ROUND(VLOOKUP(D52,Poeng!$B$10:$AE$252,Poeng!AE$1,FALSE)*100,1)&amp;" %"</f>
        <v>0 c. 0 %</v>
      </c>
      <c r="I52" s="924" t="str">
        <f>VLOOKUP(D52,Poeng!$B$10:$BE$252,Poeng!BE$1,FALSE)</f>
        <v>N/A</v>
      </c>
      <c r="J52" s="80"/>
      <c r="K52" s="281"/>
      <c r="L52" s="796"/>
      <c r="M52" s="816"/>
      <c r="N52" s="1001"/>
      <c r="O52" s="877" t="str">
        <f>VLOOKUP(D52,Poeng!$B$10:$BC$252,Poeng!AJ$1,FALSE)&amp;" c. "&amp;ROUND(VLOOKUP(D52,Poeng!$B$10:$BC$252,Poeng!AF$1,FALSE)*100,1)&amp;" %"</f>
        <v>0 c. 0 %</v>
      </c>
      <c r="P52" s="123" t="str">
        <f>VLOOKUP(D52,Poeng!$B$10:$BH$252,Poeng!BH$1,FALSE)</f>
        <v>N/A</v>
      </c>
      <c r="Q52" s="744"/>
      <c r="R52" s="745"/>
      <c r="S52" s="738"/>
      <c r="T52" s="319"/>
      <c r="U52" s="1001"/>
      <c r="V52" s="877" t="str">
        <f>VLOOKUP(D52,Poeng!$B$10:$BC$252,Poeng!AK$1,FALSE)&amp;" c. "&amp;ROUND(VLOOKUP(D52,Poeng!$B$10:$BC$252,Poeng!AG$1,FALSE)*100,1)&amp;" %"</f>
        <v>0 c. 0 %</v>
      </c>
      <c r="W52" s="123" t="str">
        <f>VLOOKUP(D52,Poeng!$B$10:$BK$252,Poeng!BK$1,FALSE)</f>
        <v>N/A</v>
      </c>
      <c r="X52" s="81"/>
      <c r="Y52" s="80"/>
      <c r="Z52" s="738"/>
      <c r="AA52" s="133"/>
      <c r="AB52" s="640" t="s">
        <v>13</v>
      </c>
      <c r="AC52" s="107">
        <f t="shared" si="0"/>
        <v>1</v>
      </c>
      <c r="AD52" s="3" t="e">
        <f>VLOOKUP(K52,'Assessment Details'!$O$45:$P$48,2,FALSE)</f>
        <v>#N/A</v>
      </c>
      <c r="AE52" s="3" t="e">
        <f>VLOOKUP(R52,'Assessment Details'!$O$45:$P$48,2,FALSE)</f>
        <v>#N/A</v>
      </c>
      <c r="AF52" s="3" t="e">
        <f>VLOOKUP(Y52,'Assessment Details'!$O$45:$P$48,2,FALSE)</f>
        <v>#N/A</v>
      </c>
      <c r="AI52" s="70" t="str">
        <f>ais_ja</f>
        <v>Ja</v>
      </c>
      <c r="AJ52" s="671" t="s">
        <v>112</v>
      </c>
      <c r="AK52" s="648" t="s">
        <v>405</v>
      </c>
      <c r="AL52" s="648" t="s">
        <v>409</v>
      </c>
      <c r="AM52" s="648" t="s">
        <v>407</v>
      </c>
      <c r="AN52" s="70"/>
      <c r="AO52" s="70"/>
      <c r="AP52" s="70"/>
      <c r="AR52" s="1" t="s">
        <v>13</v>
      </c>
      <c r="AS52" s="23" t="str">
        <f t="shared" si="3"/>
        <v>N/A</v>
      </c>
      <c r="AT52" s="23" t="str">
        <f t="shared" si="1"/>
        <v>N/A</v>
      </c>
      <c r="AU52" s="23" t="str">
        <f t="shared" si="2"/>
        <v>N/A</v>
      </c>
      <c r="AV52" s="23"/>
      <c r="AW52" s="23"/>
      <c r="AX52" s="23"/>
      <c r="AZ52" s="640"/>
    </row>
    <row r="53" spans="1:52" x14ac:dyDescent="0.25">
      <c r="A53" s="1076">
        <v>44</v>
      </c>
      <c r="B53" s="1077" t="s">
        <v>64</v>
      </c>
      <c r="C53" s="1082" t="str">
        <f t="shared" si="7"/>
        <v>Hea 03</v>
      </c>
      <c r="D53" s="824" t="s">
        <v>736</v>
      </c>
      <c r="E53" s="861" t="str">
        <f>VLOOKUP(D53,Poeng!$B$10:$R$252,Poeng!E$1,FALSE)</f>
        <v xml:space="preserve">Thermal modelling </v>
      </c>
      <c r="F53" s="122">
        <f>VLOOKUP(D53,Poeng!$B$10:$AB$252,Poeng!AB$1,FALSE)</f>
        <v>1</v>
      </c>
      <c r="G53" s="43"/>
      <c r="H53" s="123">
        <f>VLOOKUP(D53,Poeng!$B$10:$AE$252,Poeng!AE$1,FALSE)</f>
        <v>0</v>
      </c>
      <c r="I53" s="124" t="str">
        <f>VLOOKUP(D53,Poeng!$B$10:$BE$252,Poeng!BE$1,FALSE)</f>
        <v>N/A</v>
      </c>
      <c r="J53" s="80"/>
      <c r="K53" s="281"/>
      <c r="L53" s="796"/>
      <c r="M53" s="816"/>
      <c r="N53" s="83"/>
      <c r="O53" s="123">
        <f>VLOOKUP(D53,Poeng!$B$10:$BC$252,Poeng!AF$1,FALSE)</f>
        <v>0</v>
      </c>
      <c r="P53" s="123" t="str">
        <f>VLOOKUP(D53,Poeng!$B$10:$BH$252,Poeng!BH$1,FALSE)</f>
        <v>N/A</v>
      </c>
      <c r="Q53" s="744"/>
      <c r="R53" s="745"/>
      <c r="S53" s="738"/>
      <c r="T53" s="319"/>
      <c r="U53" s="83"/>
      <c r="V53" s="123">
        <f>VLOOKUP(D53,Poeng!$B$10:$BC$252,Poeng!AG$1,FALSE)</f>
        <v>0</v>
      </c>
      <c r="W53" s="123" t="str">
        <f>VLOOKUP(D53,Poeng!$B$10:$BK$252,Poeng!BK$1,FALSE)</f>
        <v>N/A</v>
      </c>
      <c r="X53" s="81"/>
      <c r="Y53" s="80"/>
      <c r="Z53" s="1095"/>
      <c r="AA53" s="133"/>
      <c r="AB53" s="640"/>
      <c r="AC53" s="107">
        <f t="shared" si="0"/>
        <v>1</v>
      </c>
      <c r="AD53" s="3" t="e">
        <f>VLOOKUP(K53,'Assessment Details'!$O$45:$P$48,2,FALSE)</f>
        <v>#N/A</v>
      </c>
      <c r="AE53" s="3" t="e">
        <f>VLOOKUP(R53,'Assessment Details'!$O$45:$P$48,2,FALSE)</f>
        <v>#N/A</v>
      </c>
      <c r="AF53" s="3" t="e">
        <f>VLOOKUP(Y53,'Assessment Details'!$O$45:$P$48,2,FALSE)</f>
        <v>#N/A</v>
      </c>
      <c r="AI53" s="70"/>
      <c r="AJ53" s="671"/>
      <c r="AK53" s="648"/>
      <c r="AL53" s="648"/>
      <c r="AM53" s="648"/>
      <c r="AN53" s="70"/>
      <c r="AO53" s="70"/>
      <c r="AP53" s="70"/>
      <c r="AS53" s="23"/>
      <c r="AT53" s="23"/>
      <c r="AU53" s="23"/>
      <c r="AV53" s="23"/>
      <c r="AW53" s="23"/>
      <c r="AX53" s="23"/>
      <c r="AZ53" s="640"/>
    </row>
    <row r="54" spans="1:52" x14ac:dyDescent="0.25">
      <c r="A54" s="1076">
        <v>45</v>
      </c>
      <c r="B54" s="1077" t="s">
        <v>64</v>
      </c>
      <c r="C54" s="1082" t="str">
        <f t="shared" si="7"/>
        <v>Hea 03</v>
      </c>
      <c r="D54" s="824" t="s">
        <v>737</v>
      </c>
      <c r="E54" s="861" t="str">
        <f>VLOOKUP(D54,Poeng!$B$10:$R$252,Poeng!E$1,FALSE)</f>
        <v xml:space="preserve">Design for future thermal comfort </v>
      </c>
      <c r="F54" s="122">
        <f>VLOOKUP(D54,Poeng!$B$10:$AB$252,Poeng!AB$1,FALSE)</f>
        <v>1</v>
      </c>
      <c r="G54" s="43"/>
      <c r="H54" s="123">
        <f>VLOOKUP(D54,Poeng!$B$10:$AE$252,Poeng!AE$1,FALSE)</f>
        <v>0</v>
      </c>
      <c r="I54" s="124" t="str">
        <f>VLOOKUP(D54,Poeng!$B$10:$BE$252,Poeng!BE$1,FALSE)</f>
        <v>N/A</v>
      </c>
      <c r="J54" s="80"/>
      <c r="K54" s="281"/>
      <c r="L54" s="796"/>
      <c r="M54" s="816"/>
      <c r="N54" s="83"/>
      <c r="O54" s="123">
        <f>VLOOKUP(D54,Poeng!$B$10:$BC$252,Poeng!AF$1,FALSE)</f>
        <v>0</v>
      </c>
      <c r="P54" s="123" t="str">
        <f>VLOOKUP(D54,Poeng!$B$10:$BH$252,Poeng!BH$1,FALSE)</f>
        <v>N/A</v>
      </c>
      <c r="Q54" s="744"/>
      <c r="R54" s="745"/>
      <c r="S54" s="738"/>
      <c r="T54" s="319"/>
      <c r="U54" s="83"/>
      <c r="V54" s="123">
        <f>VLOOKUP(D54,Poeng!$B$10:$BC$252,Poeng!AG$1,FALSE)</f>
        <v>0</v>
      </c>
      <c r="W54" s="123" t="str">
        <f>VLOOKUP(D54,Poeng!$B$10:$BK$252,Poeng!BK$1,FALSE)</f>
        <v>N/A</v>
      </c>
      <c r="X54" s="81"/>
      <c r="Y54" s="80"/>
      <c r="Z54" s="1095"/>
      <c r="AA54" s="133"/>
      <c r="AB54" s="640"/>
      <c r="AC54" s="107">
        <f t="shared" si="0"/>
        <v>1</v>
      </c>
      <c r="AD54" s="3" t="e">
        <f>VLOOKUP(K54,'Assessment Details'!$O$45:$P$48,2,FALSE)</f>
        <v>#N/A</v>
      </c>
      <c r="AE54" s="3" t="e">
        <f>VLOOKUP(R54,'Assessment Details'!$O$45:$P$48,2,FALSE)</f>
        <v>#N/A</v>
      </c>
      <c r="AF54" s="3" t="e">
        <f>VLOOKUP(Y54,'Assessment Details'!$O$45:$P$48,2,FALSE)</f>
        <v>#N/A</v>
      </c>
      <c r="AI54" s="70"/>
      <c r="AJ54" s="671"/>
      <c r="AK54" s="648"/>
      <c r="AL54" s="648"/>
      <c r="AM54" s="648"/>
      <c r="AN54" s="70"/>
      <c r="AO54" s="70"/>
      <c r="AP54" s="70"/>
      <c r="AS54" s="23"/>
      <c r="AT54" s="23"/>
      <c r="AU54" s="23"/>
      <c r="AV54" s="23"/>
      <c r="AW54" s="23"/>
      <c r="AX54" s="23"/>
      <c r="AZ54" s="640"/>
    </row>
    <row r="55" spans="1:52" x14ac:dyDescent="0.25">
      <c r="A55" s="1076">
        <v>46</v>
      </c>
      <c r="B55" s="1077" t="s">
        <v>64</v>
      </c>
      <c r="C55" s="1082" t="str">
        <f t="shared" si="7"/>
        <v>Hea 03</v>
      </c>
      <c r="D55" s="824" t="s">
        <v>738</v>
      </c>
      <c r="E55" s="861" t="str">
        <f>VLOOKUP(D55,Poeng!$B$10:$R$252,Poeng!E$1,FALSE)</f>
        <v xml:space="preserve">Thermal zoning and controls </v>
      </c>
      <c r="F55" s="122">
        <f>VLOOKUP(D55,Poeng!$B$10:$AB$252,Poeng!AB$1,FALSE)</f>
        <v>1</v>
      </c>
      <c r="G55" s="43"/>
      <c r="H55" s="123">
        <f>VLOOKUP(D55,Poeng!$B$10:$AE$252,Poeng!AE$1,FALSE)</f>
        <v>0</v>
      </c>
      <c r="I55" s="124" t="str">
        <f>VLOOKUP(D55,Poeng!$B$10:$BE$252,Poeng!BE$1,FALSE)</f>
        <v>N/A</v>
      </c>
      <c r="J55" s="80"/>
      <c r="K55" s="281"/>
      <c r="L55" s="796"/>
      <c r="M55" s="816"/>
      <c r="N55" s="83"/>
      <c r="O55" s="123">
        <f>VLOOKUP(D55,Poeng!$B$10:$BC$252,Poeng!AF$1,FALSE)</f>
        <v>0</v>
      </c>
      <c r="P55" s="123" t="str">
        <f>VLOOKUP(D55,Poeng!$B$10:$BH$252,Poeng!BH$1,FALSE)</f>
        <v>N/A</v>
      </c>
      <c r="Q55" s="744"/>
      <c r="R55" s="745"/>
      <c r="S55" s="738"/>
      <c r="T55" s="319"/>
      <c r="U55" s="83"/>
      <c r="V55" s="123">
        <f>VLOOKUP(D55,Poeng!$B$10:$BC$252,Poeng!AG$1,FALSE)</f>
        <v>0</v>
      </c>
      <c r="W55" s="123" t="str">
        <f>VLOOKUP(D55,Poeng!$B$10:$BK$252,Poeng!BK$1,FALSE)</f>
        <v>N/A</v>
      </c>
      <c r="X55" s="81"/>
      <c r="Y55" s="80"/>
      <c r="Z55" s="1095"/>
      <c r="AA55" s="133"/>
      <c r="AB55" s="640"/>
      <c r="AC55" s="107">
        <f t="shared" si="0"/>
        <v>1</v>
      </c>
      <c r="AD55" s="3" t="e">
        <f>VLOOKUP(K55,'Assessment Details'!$O$45:$P$48,2,FALSE)</f>
        <v>#N/A</v>
      </c>
      <c r="AE55" s="3" t="e">
        <f>VLOOKUP(R55,'Assessment Details'!$O$45:$P$48,2,FALSE)</f>
        <v>#N/A</v>
      </c>
      <c r="AF55" s="3" t="e">
        <f>VLOOKUP(Y55,'Assessment Details'!$O$45:$P$48,2,FALSE)</f>
        <v>#N/A</v>
      </c>
      <c r="AI55" s="70"/>
      <c r="AJ55" s="671"/>
      <c r="AK55" s="648"/>
      <c r="AL55" s="648"/>
      <c r="AM55" s="648"/>
      <c r="AN55" s="70"/>
      <c r="AO55" s="70"/>
      <c r="AP55" s="70"/>
      <c r="AS55" s="23"/>
      <c r="AT55" s="23"/>
      <c r="AU55" s="23"/>
      <c r="AV55" s="23"/>
      <c r="AW55" s="23"/>
      <c r="AX55" s="23"/>
      <c r="AZ55" s="640"/>
    </row>
    <row r="56" spans="1:52" x14ac:dyDescent="0.25">
      <c r="A56" s="1076">
        <v>47</v>
      </c>
      <c r="B56" s="1077" t="s">
        <v>64</v>
      </c>
      <c r="C56" s="924" t="s">
        <v>120</v>
      </c>
      <c r="D56" s="824" t="s">
        <v>120</v>
      </c>
      <c r="E56" s="860" t="str">
        <f>VLOOKUP(D56,Poeng!$B$10:$R$252,Poeng!E$1,FALSE)</f>
        <v>Hea 05 Acoustic performance</v>
      </c>
      <c r="F56" s="865">
        <f>VLOOKUP(D56,Poeng!$B$10:$AB$252,Poeng!AB$1,FALSE)</f>
        <v>3</v>
      </c>
      <c r="G56" s="1001"/>
      <c r="H56" s="866" t="str">
        <f>VLOOKUP(D56,Poeng!$B$10:$AI$252,Poeng!AI$1,FALSE)&amp;" c. "&amp;ROUND(VLOOKUP(D56,Poeng!$B$10:$AE$252,Poeng!AE$1,FALSE)*100,1)&amp;" %"</f>
        <v>0 c. 0 %</v>
      </c>
      <c r="I56" s="924" t="str">
        <f>VLOOKUP(D56,Poeng!$B$10:$BE$252,Poeng!BE$1,FALSE)</f>
        <v>N/A</v>
      </c>
      <c r="J56" s="80"/>
      <c r="K56" s="281"/>
      <c r="L56" s="796"/>
      <c r="M56" s="816"/>
      <c r="N56" s="1001"/>
      <c r="O56" s="877" t="str">
        <f>VLOOKUP(D56,Poeng!$B$10:$BC$252,Poeng!AJ$1,FALSE)&amp;" c. "&amp;ROUND(VLOOKUP(D56,Poeng!$B$10:$BC$252,Poeng!AF$1,FALSE)*100,1)&amp;" %"</f>
        <v>0 c. 0 %</v>
      </c>
      <c r="P56" s="123" t="str">
        <f>VLOOKUP(D56,Poeng!$B$10:$BH$252,Poeng!BH$1,FALSE)</f>
        <v>N/A</v>
      </c>
      <c r="Q56" s="744"/>
      <c r="R56" s="745"/>
      <c r="S56" s="738"/>
      <c r="T56" s="319"/>
      <c r="U56" s="1001"/>
      <c r="V56" s="877" t="str">
        <f>VLOOKUP(D56,Poeng!$B$10:$BC$252,Poeng!AK$1,FALSE)&amp;" c. "&amp;ROUND(VLOOKUP(D56,Poeng!$B$10:$BC$252,Poeng!AG$1,FALSE)*100,1)&amp;" %"</f>
        <v>0 c. 0 %</v>
      </c>
      <c r="W56" s="123" t="str">
        <f>VLOOKUP(D56,Poeng!$B$10:$BK$252,Poeng!BK$1,FALSE)</f>
        <v>N/A</v>
      </c>
      <c r="X56" s="81"/>
      <c r="Y56" s="80"/>
      <c r="Z56" s="738"/>
      <c r="AA56" s="133"/>
      <c r="AB56" s="640" t="s">
        <v>13</v>
      </c>
      <c r="AC56" s="107">
        <f t="shared" si="0"/>
        <v>1</v>
      </c>
      <c r="AD56" s="3" t="e">
        <f>VLOOKUP(K56,'Assessment Details'!$O$45:$P$48,2,FALSE)</f>
        <v>#N/A</v>
      </c>
      <c r="AE56" s="3" t="e">
        <f>VLOOKUP(R56,'Assessment Details'!$O$45:$P$48,2,FALSE)</f>
        <v>#N/A</v>
      </c>
      <c r="AF56" s="3" t="e">
        <f>VLOOKUP(Y56,'Assessment Details'!$O$45:$P$48,2,FALSE)</f>
        <v>#N/A</v>
      </c>
      <c r="AI56" s="70"/>
      <c r="AJ56" s="671" t="s">
        <v>126</v>
      </c>
      <c r="AK56" s="648" t="s">
        <v>13</v>
      </c>
      <c r="AL56" s="652" t="s">
        <v>12</v>
      </c>
      <c r="AM56" s="70"/>
      <c r="AN56" s="70"/>
      <c r="AO56" s="70"/>
      <c r="AP56" s="70"/>
      <c r="AS56" s="23" t="str">
        <f t="shared" si="3"/>
        <v>N/A</v>
      </c>
      <c r="AT56" s="23" t="str">
        <f t="shared" si="1"/>
        <v>N/A</v>
      </c>
      <c r="AU56" s="23" t="str">
        <f t="shared" si="2"/>
        <v>N/A</v>
      </c>
      <c r="AV56" s="23"/>
      <c r="AW56" s="23"/>
      <c r="AX56" s="23"/>
      <c r="AZ56" s="640"/>
    </row>
    <row r="57" spans="1:52" x14ac:dyDescent="0.25">
      <c r="A57" s="1076">
        <v>48</v>
      </c>
      <c r="B57" s="1077" t="s">
        <v>64</v>
      </c>
      <c r="C57" s="1082" t="str">
        <f t="shared" si="7"/>
        <v>Hea 05</v>
      </c>
      <c r="D57" s="824" t="s">
        <v>739</v>
      </c>
      <c r="E57" s="861" t="str">
        <f>VLOOKUP(D57,Poeng!$B$10:$R$252,Poeng!E$1,FALSE)</f>
        <v xml:space="preserve">Pre-requisite: suitably qualified acoustician </v>
      </c>
      <c r="F57" s="122" t="str">
        <f>VLOOKUP(D57,Poeng!$B$10:$AB$252,Poeng!AB$1,FALSE)</f>
        <v>Yes/No</v>
      </c>
      <c r="G57" s="43"/>
      <c r="H57" s="123" t="str">
        <f>VLOOKUP(D57,Poeng!$B$10:$AE$252,Poeng!AE$1,FALSE)</f>
        <v>-</v>
      </c>
      <c r="I57" s="124" t="str">
        <f>VLOOKUP(D57,Poeng!$B$10:$BE$252,Poeng!BE$1,FALSE)</f>
        <v>N/A</v>
      </c>
      <c r="J57" s="80"/>
      <c r="K57" s="281"/>
      <c r="L57" s="796"/>
      <c r="M57" s="816"/>
      <c r="N57" s="83"/>
      <c r="O57" s="123" t="str">
        <f>VLOOKUP(D57,Poeng!$B$10:$BC$252,Poeng!AF$1,FALSE)</f>
        <v>-</v>
      </c>
      <c r="P57" s="123" t="str">
        <f>VLOOKUP(D57,Poeng!$B$10:$BH$252,Poeng!BH$1,FALSE)</f>
        <v>N/A</v>
      </c>
      <c r="Q57" s="744"/>
      <c r="R57" s="745"/>
      <c r="S57" s="738"/>
      <c r="T57" s="319"/>
      <c r="U57" s="83"/>
      <c r="V57" s="123" t="str">
        <f>VLOOKUP(D57,Poeng!$B$10:$BC$252,Poeng!AG$1,FALSE)</f>
        <v>-</v>
      </c>
      <c r="W57" s="123" t="str">
        <f>VLOOKUP(D57,Poeng!$B$10:$BK$252,Poeng!BK$1,FALSE)</f>
        <v>N/A</v>
      </c>
      <c r="X57" s="81"/>
      <c r="Y57" s="80"/>
      <c r="Z57" s="738"/>
      <c r="AA57" s="133"/>
      <c r="AB57" s="640"/>
      <c r="AC57" s="107">
        <f t="shared" si="0"/>
        <v>1</v>
      </c>
      <c r="AD57" s="3" t="e">
        <f>VLOOKUP(K57,'Assessment Details'!$O$45:$P$48,2,FALSE)</f>
        <v>#N/A</v>
      </c>
      <c r="AE57" s="3" t="e">
        <f>VLOOKUP(R57,'Assessment Details'!$O$45:$P$48,2,FALSE)</f>
        <v>#N/A</v>
      </c>
      <c r="AF57" s="3" t="e">
        <f>VLOOKUP(Y57,'Assessment Details'!$O$45:$P$48,2,FALSE)</f>
        <v>#N/A</v>
      </c>
      <c r="AI57" s="70"/>
      <c r="AJ57" s="671"/>
      <c r="AK57" s="648"/>
      <c r="AL57" s="652"/>
      <c r="AM57" s="70"/>
      <c r="AN57" s="70"/>
      <c r="AO57" s="70"/>
      <c r="AP57" s="70"/>
      <c r="AS57" s="23"/>
      <c r="AT57" s="23"/>
      <c r="AU57" s="23"/>
      <c r="AV57" s="23"/>
      <c r="AW57" s="23"/>
      <c r="AX57" s="23"/>
      <c r="AZ57" s="640"/>
    </row>
    <row r="58" spans="1:52" x14ac:dyDescent="0.25">
      <c r="A58" s="1076">
        <v>49</v>
      </c>
      <c r="B58" s="1077" t="s">
        <v>64</v>
      </c>
      <c r="C58" s="1082" t="str">
        <f t="shared" si="7"/>
        <v>Hea 05</v>
      </c>
      <c r="D58" s="824" t="s">
        <v>740</v>
      </c>
      <c r="E58" s="861" t="str">
        <f>VLOOKUP(D58,Poeng!$B$10:$R$252,Poeng!E$1,FALSE)</f>
        <v xml:space="preserve">Sound class requirements </v>
      </c>
      <c r="F58" s="122">
        <f>VLOOKUP(D58,Poeng!$B$10:$AB$252,Poeng!AB$1,FALSE)</f>
        <v>3</v>
      </c>
      <c r="G58" s="43"/>
      <c r="H58" s="123">
        <f>VLOOKUP(D58,Poeng!$B$10:$AE$252,Poeng!AE$1,FALSE)</f>
        <v>0</v>
      </c>
      <c r="I58" s="124" t="str">
        <f>VLOOKUP(D58,Poeng!$B$10:$BE$252,Poeng!BE$1,FALSE)</f>
        <v>N/A</v>
      </c>
      <c r="J58" s="80"/>
      <c r="K58" s="281"/>
      <c r="L58" s="796"/>
      <c r="M58" s="816"/>
      <c r="N58" s="83"/>
      <c r="O58" s="123">
        <f>VLOOKUP(D58,Poeng!$B$10:$BC$252,Poeng!AF$1,FALSE)</f>
        <v>0</v>
      </c>
      <c r="P58" s="123" t="str">
        <f>VLOOKUP(D58,Poeng!$B$10:$BH$252,Poeng!BH$1,FALSE)</f>
        <v>N/A</v>
      </c>
      <c r="Q58" s="744"/>
      <c r="R58" s="745"/>
      <c r="S58" s="1095"/>
      <c r="T58" s="319"/>
      <c r="U58" s="83"/>
      <c r="V58" s="123">
        <f>VLOOKUP(D58,Poeng!$B$10:$BC$252,Poeng!AG$1,FALSE)</f>
        <v>0</v>
      </c>
      <c r="W58" s="123" t="str">
        <f>VLOOKUP(D58,Poeng!$B$10:$BK$252,Poeng!BK$1,FALSE)</f>
        <v>N/A</v>
      </c>
      <c r="X58" s="81"/>
      <c r="Y58" s="80"/>
      <c r="Z58" s="1095"/>
      <c r="AA58" s="133"/>
      <c r="AB58" s="640"/>
      <c r="AC58" s="107">
        <f t="shared" si="0"/>
        <v>1</v>
      </c>
      <c r="AD58" s="3" t="e">
        <f>VLOOKUP(K58,'Assessment Details'!$O$45:$P$48,2,FALSE)</f>
        <v>#N/A</v>
      </c>
      <c r="AE58" s="3" t="e">
        <f>VLOOKUP(R58,'Assessment Details'!$O$45:$P$48,2,FALSE)</f>
        <v>#N/A</v>
      </c>
      <c r="AF58" s="3" t="e">
        <f>VLOOKUP(Y58,'Assessment Details'!$O$45:$P$48,2,FALSE)</f>
        <v>#N/A</v>
      </c>
      <c r="AI58" s="70"/>
      <c r="AJ58" s="671"/>
      <c r="AK58" s="648"/>
      <c r="AL58" s="652"/>
      <c r="AM58" s="70"/>
      <c r="AN58" s="70"/>
      <c r="AO58" s="70"/>
      <c r="AP58" s="70"/>
      <c r="AS58" s="23"/>
      <c r="AT58" s="23"/>
      <c r="AU58" s="23"/>
      <c r="AV58" s="23"/>
      <c r="AW58" s="23"/>
      <c r="AX58" s="23"/>
      <c r="AZ58" s="640"/>
    </row>
    <row r="59" spans="1:52" x14ac:dyDescent="0.25">
      <c r="A59" s="1076">
        <v>50</v>
      </c>
      <c r="B59" s="1077" t="s">
        <v>64</v>
      </c>
      <c r="C59" s="924" t="s">
        <v>121</v>
      </c>
      <c r="D59" s="824" t="s">
        <v>121</v>
      </c>
      <c r="E59" s="860" t="str">
        <f>VLOOKUP(D59,Poeng!$B$10:$R$252,Poeng!E$1,FALSE)</f>
        <v>Hea 06 Safe access</v>
      </c>
      <c r="F59" s="865">
        <f>VLOOKUP(D59,Poeng!$B$10:$AB$252,Poeng!AB$1,FALSE)</f>
        <v>2</v>
      </c>
      <c r="G59" s="1001"/>
      <c r="H59" s="866" t="str">
        <f>VLOOKUP(D59,Poeng!$B$10:$AI$252,Poeng!AI$1,FALSE)&amp;" c. "&amp;ROUND(VLOOKUP(D59,Poeng!$B$10:$AE$252,Poeng!AE$1,FALSE)*100,1)&amp;" %"</f>
        <v>0 c. 0 %</v>
      </c>
      <c r="I59" s="924" t="str">
        <f>VLOOKUP(D59,Poeng!$B$10:$BE$252,Poeng!BE$1,FALSE)</f>
        <v>N/A</v>
      </c>
      <c r="J59" s="80"/>
      <c r="K59" s="281"/>
      <c r="L59" s="796"/>
      <c r="M59" s="816"/>
      <c r="N59" s="1001"/>
      <c r="O59" s="877" t="str">
        <f>VLOOKUP(D59,Poeng!$B$10:$BC$252,Poeng!AJ$1,FALSE)&amp;" c. "&amp;ROUND(VLOOKUP(D59,Poeng!$B$10:$BC$252,Poeng!AF$1,FALSE)*100,1)&amp;" %"</f>
        <v>0 c. 0 %</v>
      </c>
      <c r="P59" s="123" t="str">
        <f>VLOOKUP(D59,Poeng!$B$10:$BH$252,Poeng!BH$1,FALSE)</f>
        <v>N/A</v>
      </c>
      <c r="Q59" s="744"/>
      <c r="R59" s="745"/>
      <c r="S59" s="738"/>
      <c r="T59" s="319"/>
      <c r="U59" s="1001"/>
      <c r="V59" s="877" t="str">
        <f>VLOOKUP(D59,Poeng!$B$10:$BC$252,Poeng!AK$1,FALSE)&amp;" c. "&amp;ROUND(VLOOKUP(D59,Poeng!$B$10:$BC$252,Poeng!AG$1,FALSE)*100,1)&amp;" %"</f>
        <v>0 c. 0 %</v>
      </c>
      <c r="W59" s="123" t="str">
        <f>VLOOKUP(D59,Poeng!$B$10:$BK$252,Poeng!BK$1,FALSE)</f>
        <v>N/A</v>
      </c>
      <c r="X59" s="81"/>
      <c r="Y59" s="80"/>
      <c r="Z59" s="738"/>
      <c r="AA59" s="133"/>
      <c r="AB59" s="640" t="s">
        <v>14</v>
      </c>
      <c r="AC59" s="107">
        <f t="shared" si="0"/>
        <v>1</v>
      </c>
      <c r="AD59" s="3" t="e">
        <f>VLOOKUP(K59,'Assessment Details'!$O$45:$P$48,2,FALSE)</f>
        <v>#N/A</v>
      </c>
      <c r="AE59" s="3" t="e">
        <f>VLOOKUP(R59,'Assessment Details'!$O$45:$P$48,2,FALSE)</f>
        <v>#N/A</v>
      </c>
      <c r="AF59" s="3" t="e">
        <f>VLOOKUP(Y59,'Assessment Details'!$O$45:$P$48,2,FALSE)</f>
        <v>#N/A</v>
      </c>
      <c r="AI59" s="70"/>
      <c r="AJ59" s="671" t="s">
        <v>113</v>
      </c>
      <c r="AK59" s="70"/>
      <c r="AL59" s="70"/>
      <c r="AM59" s="70"/>
      <c r="AN59" s="70"/>
      <c r="AO59" s="70"/>
      <c r="AP59" s="70"/>
      <c r="AS59" s="23" t="str">
        <f t="shared" si="3"/>
        <v>N/A</v>
      </c>
      <c r="AT59" s="23" t="str">
        <f t="shared" si="1"/>
        <v>N/A</v>
      </c>
      <c r="AU59" s="23" t="str">
        <f t="shared" si="2"/>
        <v>N/A</v>
      </c>
      <c r="AV59" s="23"/>
      <c r="AW59" s="23"/>
      <c r="AX59" s="23"/>
      <c r="AZ59" s="640"/>
    </row>
    <row r="60" spans="1:52" x14ac:dyDescent="0.25">
      <c r="A60" s="1076">
        <v>51</v>
      </c>
      <c r="B60" s="1077" t="s">
        <v>64</v>
      </c>
      <c r="C60" s="1082" t="str">
        <f t="shared" si="7"/>
        <v>Hea 06</v>
      </c>
      <c r="D60" s="824" t="s">
        <v>741</v>
      </c>
      <c r="E60" s="861" t="str">
        <f>VLOOKUP(D60,Poeng!$B$10:$R$252,Poeng!E$1,FALSE)</f>
        <v xml:space="preserve">Inclusive design </v>
      </c>
      <c r="F60" s="122">
        <f>VLOOKUP(D60,Poeng!$B$10:$AB$252,Poeng!AB$1,FALSE)</f>
        <v>1</v>
      </c>
      <c r="G60" s="43"/>
      <c r="H60" s="123">
        <f>VLOOKUP(D60,Poeng!$B$10:$AE$252,Poeng!AE$1,FALSE)</f>
        <v>0</v>
      </c>
      <c r="I60" s="124" t="str">
        <f>VLOOKUP(D60,Poeng!$B$10:$BE$252,Poeng!BE$1,FALSE)</f>
        <v>N/A</v>
      </c>
      <c r="J60" s="80"/>
      <c r="K60" s="281"/>
      <c r="L60" s="796"/>
      <c r="M60" s="816"/>
      <c r="N60" s="83"/>
      <c r="O60" s="123">
        <f>VLOOKUP(D60,Poeng!$B$10:$BC$252,Poeng!AF$1,FALSE)</f>
        <v>0</v>
      </c>
      <c r="P60" s="123" t="str">
        <f>VLOOKUP(D60,Poeng!$B$10:$BH$252,Poeng!BH$1,FALSE)</f>
        <v>N/A</v>
      </c>
      <c r="Q60" s="744"/>
      <c r="R60" s="745"/>
      <c r="S60" s="738"/>
      <c r="T60" s="319"/>
      <c r="U60" s="83"/>
      <c r="V60" s="123">
        <f>VLOOKUP(D60,Poeng!$B$10:$BC$252,Poeng!AG$1,FALSE)</f>
        <v>0</v>
      </c>
      <c r="W60" s="123" t="str">
        <f>VLOOKUP(D60,Poeng!$B$10:$BK$252,Poeng!BK$1,FALSE)</f>
        <v>N/A</v>
      </c>
      <c r="X60" s="81"/>
      <c r="Y60" s="80"/>
      <c r="Z60" s="1095"/>
      <c r="AA60" s="133"/>
      <c r="AB60" s="640"/>
      <c r="AC60" s="107">
        <f t="shared" si="0"/>
        <v>1</v>
      </c>
      <c r="AD60" s="3" t="e">
        <f>VLOOKUP(K60,'Assessment Details'!$O$45:$P$48,2,FALSE)</f>
        <v>#N/A</v>
      </c>
      <c r="AE60" s="3" t="e">
        <f>VLOOKUP(R60,'Assessment Details'!$O$45:$P$48,2,FALSE)</f>
        <v>#N/A</v>
      </c>
      <c r="AF60" s="3" t="e">
        <f>VLOOKUP(Y60,'Assessment Details'!$O$45:$P$48,2,FALSE)</f>
        <v>#N/A</v>
      </c>
      <c r="AI60" s="70"/>
      <c r="AJ60" s="671"/>
      <c r="AK60" s="70"/>
      <c r="AL60" s="70"/>
      <c r="AM60" s="70"/>
      <c r="AN60" s="70"/>
      <c r="AO60" s="70"/>
      <c r="AP60" s="70"/>
      <c r="AS60" s="23"/>
      <c r="AT60" s="23"/>
      <c r="AU60" s="23"/>
      <c r="AV60" s="23"/>
      <c r="AW60" s="23"/>
      <c r="AX60" s="23"/>
      <c r="AZ60" s="640"/>
    </row>
    <row r="61" spans="1:52" x14ac:dyDescent="0.25">
      <c r="A61" s="1076">
        <v>52</v>
      </c>
      <c r="B61" s="1077" t="s">
        <v>64</v>
      </c>
      <c r="C61" s="1082" t="str">
        <f t="shared" si="7"/>
        <v>Hea 06</v>
      </c>
      <c r="D61" s="824" t="s">
        <v>742</v>
      </c>
      <c r="E61" s="861" t="str">
        <f>VLOOKUP(D61,Poeng!$B$10:$R$252,Poeng!E$1,FALSE)</f>
        <v xml:space="preserve">Biofilik design </v>
      </c>
      <c r="F61" s="122">
        <f>VLOOKUP(D61,Poeng!$B$10:$AB$252,Poeng!AB$1,FALSE)</f>
        <v>1</v>
      </c>
      <c r="G61" s="43"/>
      <c r="H61" s="123">
        <f>VLOOKUP(D61,Poeng!$B$10:$AE$252,Poeng!AE$1,FALSE)</f>
        <v>0</v>
      </c>
      <c r="I61" s="124" t="str">
        <f>VLOOKUP(D61,Poeng!$B$10:$BE$252,Poeng!BE$1,FALSE)</f>
        <v>N/A</v>
      </c>
      <c r="J61" s="80"/>
      <c r="K61" s="281"/>
      <c r="L61" s="796"/>
      <c r="M61" s="816"/>
      <c r="N61" s="83"/>
      <c r="O61" s="123">
        <f>VLOOKUP(D61,Poeng!$B$10:$BC$252,Poeng!AF$1,FALSE)</f>
        <v>0</v>
      </c>
      <c r="P61" s="123" t="str">
        <f>VLOOKUP(D61,Poeng!$B$10:$BH$252,Poeng!BH$1,FALSE)</f>
        <v>N/A</v>
      </c>
      <c r="Q61" s="744"/>
      <c r="R61" s="745"/>
      <c r="S61" s="738"/>
      <c r="T61" s="319"/>
      <c r="U61" s="83"/>
      <c r="V61" s="123">
        <f>VLOOKUP(D61,Poeng!$B$10:$BC$252,Poeng!AG$1,FALSE)</f>
        <v>0</v>
      </c>
      <c r="W61" s="123" t="str">
        <f>VLOOKUP(D61,Poeng!$B$10:$BK$252,Poeng!BK$1,FALSE)</f>
        <v>N/A</v>
      </c>
      <c r="X61" s="81"/>
      <c r="Y61" s="80"/>
      <c r="Z61" s="738"/>
      <c r="AA61" s="133"/>
      <c r="AB61" s="640"/>
      <c r="AC61" s="107">
        <f t="shared" si="0"/>
        <v>1</v>
      </c>
      <c r="AD61" s="3" t="e">
        <f>VLOOKUP(K61,'Assessment Details'!$O$45:$P$48,2,FALSE)</f>
        <v>#N/A</v>
      </c>
      <c r="AE61" s="3" t="e">
        <f>VLOOKUP(R61,'Assessment Details'!$O$45:$P$48,2,FALSE)</f>
        <v>#N/A</v>
      </c>
      <c r="AF61" s="3" t="e">
        <f>VLOOKUP(Y61,'Assessment Details'!$O$45:$P$48,2,FALSE)</f>
        <v>#N/A</v>
      </c>
      <c r="AI61" s="70"/>
      <c r="AJ61" s="671"/>
      <c r="AK61" s="70"/>
      <c r="AL61" s="70"/>
      <c r="AM61" s="70"/>
      <c r="AN61" s="70"/>
      <c r="AO61" s="70"/>
      <c r="AP61" s="70"/>
      <c r="AS61" s="23"/>
      <c r="AT61" s="23"/>
      <c r="AU61" s="23"/>
      <c r="AV61" s="23"/>
      <c r="AW61" s="23"/>
      <c r="AX61" s="23"/>
      <c r="AZ61" s="640"/>
    </row>
    <row r="62" spans="1:52" x14ac:dyDescent="0.25">
      <c r="A62" s="1076">
        <v>53</v>
      </c>
      <c r="B62" s="1077" t="s">
        <v>64</v>
      </c>
      <c r="C62" s="924" t="s">
        <v>123</v>
      </c>
      <c r="D62" s="824" t="s">
        <v>123</v>
      </c>
      <c r="E62" s="860" t="str">
        <f>VLOOKUP(D62,Poeng!$B$10:$R$252,Poeng!E$1,FALSE)</f>
        <v>Hea 08 Private space</v>
      </c>
      <c r="F62" s="865">
        <f>VLOOKUP(D62,Poeng!$B$10:$AB$252,Poeng!AB$1,FALSE)</f>
        <v>0</v>
      </c>
      <c r="G62" s="1001"/>
      <c r="H62" s="866" t="str">
        <f>VLOOKUP(D62,Poeng!$B$10:$AI$252,Poeng!AI$1,FALSE)&amp;" c. "&amp;ROUND(VLOOKUP(D62,Poeng!$B$10:$AE$252,Poeng!AE$1,FALSE)*100,1)&amp;" %"</f>
        <v>0 c. 0 %</v>
      </c>
      <c r="I62" s="924" t="str">
        <f>VLOOKUP(D62,Poeng!$B$10:$BE$252,Poeng!BE$1,FALSE)</f>
        <v>N/A</v>
      </c>
      <c r="J62" s="80"/>
      <c r="K62" s="281"/>
      <c r="L62" s="796"/>
      <c r="M62" s="816"/>
      <c r="N62" s="1001"/>
      <c r="O62" s="877" t="str">
        <f>VLOOKUP(D62,Poeng!$B$10:$BC$252,Poeng!AJ$1,FALSE)&amp;" c. "&amp;ROUND(VLOOKUP(D62,Poeng!$B$10:$BC$252,Poeng!AF$1,FALSE)*100,1)&amp;" %"</f>
        <v>0 c. 0 %</v>
      </c>
      <c r="P62" s="123" t="str">
        <f>VLOOKUP(D62,Poeng!$B$10:$BH$252,Poeng!BH$1,FALSE)</f>
        <v>N/A</v>
      </c>
      <c r="Q62" s="744"/>
      <c r="R62" s="745"/>
      <c r="S62" s="738"/>
      <c r="T62" s="319"/>
      <c r="U62" s="1001"/>
      <c r="V62" s="877" t="str">
        <f>VLOOKUP(D62,Poeng!$B$10:$BC$252,Poeng!AK$1,FALSE)&amp;" c. "&amp;ROUND(VLOOKUP(D62,Poeng!$B$10:$BC$252,Poeng!AG$1,FALSE)*100,1)&amp;" %"</f>
        <v>0 c. 0 %</v>
      </c>
      <c r="W62" s="123" t="str">
        <f>VLOOKUP(D62,Poeng!$B$10:$BK$252,Poeng!BK$1,FALSE)</f>
        <v>N/A</v>
      </c>
      <c r="X62" s="81"/>
      <c r="Y62" s="80"/>
      <c r="Z62" s="738"/>
      <c r="AA62" s="133"/>
      <c r="AB62" s="640" t="s">
        <v>14</v>
      </c>
      <c r="AC62" s="107">
        <f t="shared" si="0"/>
        <v>2</v>
      </c>
      <c r="AD62" s="3" t="e">
        <f>VLOOKUP(K62,'Assessment Details'!$O$45:$P$48,2,FALSE)</f>
        <v>#N/A</v>
      </c>
      <c r="AE62" s="3" t="e">
        <f>VLOOKUP(R62,'Assessment Details'!$O$45:$P$48,2,FALSE)</f>
        <v>#N/A</v>
      </c>
      <c r="AF62" s="3" t="e">
        <f>VLOOKUP(Y62,'Assessment Details'!$O$45:$P$48,2,FALSE)</f>
        <v>#N/A</v>
      </c>
      <c r="AI62" s="70"/>
      <c r="AJ62" s="671" t="s">
        <v>115</v>
      </c>
      <c r="AK62" s="70"/>
      <c r="AL62" s="70"/>
      <c r="AM62" s="70"/>
      <c r="AN62" s="70"/>
      <c r="AO62" s="70"/>
      <c r="AP62" s="70"/>
      <c r="AS62" s="23" t="str">
        <f t="shared" si="3"/>
        <v>N/A</v>
      </c>
      <c r="AT62" s="23" t="str">
        <f t="shared" si="1"/>
        <v>N/A</v>
      </c>
      <c r="AU62" s="23" t="str">
        <f t="shared" si="2"/>
        <v>N/A</v>
      </c>
      <c r="AV62" s="23"/>
      <c r="AW62" s="23"/>
      <c r="AX62" s="23"/>
      <c r="AZ62" s="640"/>
    </row>
    <row r="63" spans="1:52" x14ac:dyDescent="0.25">
      <c r="A63" s="1076">
        <v>54</v>
      </c>
      <c r="B63" s="1077" t="s">
        <v>64</v>
      </c>
      <c r="C63" s="1082" t="str">
        <f t="shared" si="7"/>
        <v>Hea 08</v>
      </c>
      <c r="D63" s="824" t="s">
        <v>743</v>
      </c>
      <c r="E63" s="861" t="str">
        <f>VLOOKUP(D63,Poeng!$B$10:$R$252,Poeng!E$1,FALSE)</f>
        <v xml:space="preserve">Private outdoor spaces </v>
      </c>
      <c r="F63" s="122">
        <f>VLOOKUP(D63,Poeng!$B$10:$AB$252,Poeng!AB$1,FALSE)</f>
        <v>0</v>
      </c>
      <c r="G63" s="43"/>
      <c r="H63" s="123">
        <f>VLOOKUP(D63,Poeng!$B$10:$AE$252,Poeng!AE$1,FALSE)</f>
        <v>0</v>
      </c>
      <c r="I63" s="124" t="str">
        <f>VLOOKUP(D63,Poeng!$B$10:$BE$252,Poeng!BE$1,FALSE)</f>
        <v>N/A</v>
      </c>
      <c r="J63" s="80"/>
      <c r="K63" s="281"/>
      <c r="L63" s="796"/>
      <c r="M63" s="816"/>
      <c r="N63" s="83"/>
      <c r="O63" s="123">
        <f>VLOOKUP(D63,Poeng!$B$10:$BC$252,Poeng!AF$1,FALSE)</f>
        <v>0</v>
      </c>
      <c r="P63" s="123" t="str">
        <f>VLOOKUP(D63,Poeng!$B$10:$BH$252,Poeng!BH$1,FALSE)</f>
        <v>N/A</v>
      </c>
      <c r="Q63" s="744"/>
      <c r="R63" s="745"/>
      <c r="S63" s="1095"/>
      <c r="T63" s="319"/>
      <c r="U63" s="83"/>
      <c r="V63" s="123">
        <f>VLOOKUP(D63,Poeng!$B$10:$BC$252,Poeng!AG$1,FALSE)</f>
        <v>0</v>
      </c>
      <c r="W63" s="123" t="str">
        <f>VLOOKUP(D63,Poeng!$B$10:$BK$252,Poeng!BK$1,FALSE)</f>
        <v>N/A</v>
      </c>
      <c r="X63" s="81"/>
      <c r="Y63" s="80"/>
      <c r="Z63" s="1095"/>
      <c r="AA63" s="133"/>
      <c r="AB63" s="714"/>
      <c r="AC63" s="107">
        <f t="shared" si="0"/>
        <v>2</v>
      </c>
      <c r="AD63" s="3" t="e">
        <f>VLOOKUP(K63,'Assessment Details'!$O$45:$P$48,2,FALSE)</f>
        <v>#N/A</v>
      </c>
      <c r="AE63" s="3" t="e">
        <f>VLOOKUP(R63,'Assessment Details'!$O$45:$P$48,2,FALSE)</f>
        <v>#N/A</v>
      </c>
      <c r="AF63" s="3" t="e">
        <f>VLOOKUP(Y63,'Assessment Details'!$O$45:$P$48,2,FALSE)</f>
        <v>#N/A</v>
      </c>
      <c r="AI63" s="70"/>
      <c r="AJ63" s="671"/>
      <c r="AK63" s="70"/>
      <c r="AL63" s="70"/>
      <c r="AM63" s="70"/>
      <c r="AN63" s="70"/>
      <c r="AO63" s="70"/>
      <c r="AP63" s="70"/>
      <c r="AS63" s="23"/>
      <c r="AT63" s="23"/>
      <c r="AU63" s="23"/>
      <c r="AV63" s="23"/>
      <c r="AW63" s="23"/>
      <c r="AX63" s="23"/>
      <c r="AZ63" s="714"/>
    </row>
    <row r="64" spans="1:52" ht="15.75" thickBot="1" x14ac:dyDescent="0.3">
      <c r="A64" s="1076">
        <v>55</v>
      </c>
      <c r="B64" s="1077" t="s">
        <v>64</v>
      </c>
      <c r="C64" s="1083"/>
      <c r="D64" s="824" t="s">
        <v>882</v>
      </c>
      <c r="E64" s="320" t="s">
        <v>103</v>
      </c>
      <c r="F64" s="125">
        <f>Hea_Credits</f>
        <v>19</v>
      </c>
      <c r="G64" s="131"/>
      <c r="H64" s="126">
        <f>Hea_cont_tot</f>
        <v>0</v>
      </c>
      <c r="I64" s="867" t="str">
        <f>"Credits achieved: "&amp;HW_tot_user</f>
        <v>Credits achieved: 0</v>
      </c>
      <c r="J64" s="134"/>
      <c r="K64" s="282"/>
      <c r="L64" s="746"/>
      <c r="M64" s="816"/>
      <c r="N64" s="383"/>
      <c r="O64" s="126">
        <f>VLOOKUP(D64,Poeng!$B$10:$BC$252,Poeng!AF$1,FALSE)</f>
        <v>0</v>
      </c>
      <c r="P64" s="867" t="str">
        <f>"Credits achieved: "&amp;HW_d_user</f>
        <v>Credits achieved: 0</v>
      </c>
      <c r="Q64" s="747"/>
      <c r="R64" s="748"/>
      <c r="S64" s="746"/>
      <c r="T64" s="319"/>
      <c r="U64" s="383"/>
      <c r="V64" s="126">
        <f>VLOOKUP(D64,Poeng!$B$10:$BC$252,Poeng!AG$1,FALSE)</f>
        <v>0</v>
      </c>
      <c r="W64" s="867" t="str">
        <f>"Credits achieved: "&amp;HW_c_user</f>
        <v>Credits achieved: 0</v>
      </c>
      <c r="X64" s="382"/>
      <c r="Y64" s="136"/>
      <c r="Z64" s="746"/>
      <c r="AA64" s="133"/>
      <c r="AB64" s="641"/>
      <c r="AC64" s="107">
        <f t="shared" si="0"/>
        <v>1</v>
      </c>
      <c r="AD64" s="276">
        <v>0</v>
      </c>
      <c r="AE64" s="276">
        <v>0</v>
      </c>
      <c r="AF64" s="276">
        <v>0</v>
      </c>
      <c r="AI64" s="70"/>
      <c r="AJ64" s="671" t="s">
        <v>103</v>
      </c>
      <c r="AK64" s="70"/>
      <c r="AL64" s="70"/>
      <c r="AM64" s="70"/>
      <c r="AN64" s="70"/>
      <c r="AO64" s="70"/>
      <c r="AP64" s="70"/>
      <c r="AS64" s="23" t="str">
        <f t="shared" si="3"/>
        <v>N/A</v>
      </c>
      <c r="AT64" s="23" t="str">
        <f t="shared" si="1"/>
        <v>N/A</v>
      </c>
      <c r="AU64" s="23" t="str">
        <f t="shared" si="2"/>
        <v>N/A</v>
      </c>
      <c r="AV64" s="23"/>
      <c r="AW64" s="23"/>
      <c r="AX64" s="23"/>
      <c r="AZ64" s="641"/>
    </row>
    <row r="65" spans="1:52" x14ac:dyDescent="0.25">
      <c r="A65" s="1076">
        <v>56</v>
      </c>
      <c r="B65" s="1077" t="s">
        <v>64</v>
      </c>
      <c r="C65" s="1085"/>
      <c r="D65" s="824"/>
      <c r="E65" s="334"/>
      <c r="F65" s="322"/>
      <c r="G65" s="323"/>
      <c r="H65" s="322"/>
      <c r="I65" s="322"/>
      <c r="J65" s="324"/>
      <c r="K65" s="323"/>
      <c r="L65" s="749"/>
      <c r="M65" s="815"/>
      <c r="N65" s="325"/>
      <c r="O65" s="325"/>
      <c r="P65" s="749"/>
      <c r="Q65" s="749"/>
      <c r="R65" s="750"/>
      <c r="S65" s="1094"/>
      <c r="T65" s="326"/>
      <c r="U65" s="325"/>
      <c r="V65" s="325"/>
      <c r="W65" s="749"/>
      <c r="X65" s="324"/>
      <c r="Y65" s="325"/>
      <c r="Z65" s="1094"/>
      <c r="AA65" s="699"/>
      <c r="AB65" s="324"/>
      <c r="AC65" s="107">
        <f t="shared" si="0"/>
        <v>1</v>
      </c>
      <c r="AD65" s="278">
        <v>0</v>
      </c>
      <c r="AE65" s="278">
        <v>0</v>
      </c>
      <c r="AF65" s="278">
        <v>0</v>
      </c>
      <c r="AI65" s="70"/>
      <c r="AJ65" s="671"/>
      <c r="AK65" s="70"/>
      <c r="AL65" s="70"/>
      <c r="AM65" s="70"/>
      <c r="AN65" s="70"/>
      <c r="AO65" s="70"/>
      <c r="AP65" s="70"/>
      <c r="AS65" s="23" t="str">
        <f t="shared" si="3"/>
        <v>N/A</v>
      </c>
      <c r="AT65" s="23" t="str">
        <f t="shared" si="1"/>
        <v>N/A</v>
      </c>
      <c r="AU65" s="23" t="str">
        <f t="shared" si="2"/>
        <v>N/A</v>
      </c>
      <c r="AV65" s="23"/>
      <c r="AW65" s="23"/>
      <c r="AX65" s="23"/>
      <c r="AZ65" s="324"/>
    </row>
    <row r="66" spans="1:52" ht="18.75" x14ac:dyDescent="0.25">
      <c r="A66" s="1076">
        <v>57</v>
      </c>
      <c r="B66" s="1077" t="s">
        <v>65</v>
      </c>
      <c r="C66" s="1086"/>
      <c r="D66" s="824"/>
      <c r="E66" s="335" t="s">
        <v>43</v>
      </c>
      <c r="F66" s="315"/>
      <c r="G66" s="316"/>
      <c r="H66" s="336"/>
      <c r="I66" s="315"/>
      <c r="J66" s="328"/>
      <c r="K66" s="329"/>
      <c r="L66" s="752"/>
      <c r="M66" s="815"/>
      <c r="N66" s="339"/>
      <c r="O66" s="332"/>
      <c r="P66" s="742"/>
      <c r="Q66" s="753"/>
      <c r="R66" s="754"/>
      <c r="S66" s="755"/>
      <c r="T66" s="319"/>
      <c r="U66" s="339"/>
      <c r="V66" s="338"/>
      <c r="W66" s="742"/>
      <c r="X66" s="328"/>
      <c r="Y66" s="338"/>
      <c r="Z66" s="752"/>
      <c r="AA66" s="133"/>
      <c r="AB66" s="337"/>
      <c r="AC66" s="107">
        <f t="shared" si="0"/>
        <v>1</v>
      </c>
      <c r="AD66" s="275">
        <v>0</v>
      </c>
      <c r="AE66" s="275">
        <v>0</v>
      </c>
      <c r="AF66" s="275">
        <v>0</v>
      </c>
      <c r="AI66" s="70"/>
      <c r="AJ66" s="671" t="s">
        <v>43</v>
      </c>
      <c r="AK66" s="70"/>
      <c r="AL66" s="70"/>
      <c r="AM66" s="70"/>
      <c r="AN66" s="70"/>
      <c r="AO66" s="70"/>
      <c r="AP66" s="70"/>
      <c r="AS66" s="23" t="str">
        <f t="shared" si="3"/>
        <v>N/A</v>
      </c>
      <c r="AT66" s="23" t="str">
        <f t="shared" si="1"/>
        <v>N/A</v>
      </c>
      <c r="AU66" s="23" t="str">
        <f t="shared" si="2"/>
        <v>N/A</v>
      </c>
      <c r="AV66" s="23"/>
      <c r="AW66" s="23"/>
      <c r="AX66" s="23"/>
      <c r="AZ66" s="337"/>
    </row>
    <row r="67" spans="1:52" x14ac:dyDescent="0.25">
      <c r="A67" s="1076">
        <v>58</v>
      </c>
      <c r="B67" s="1077" t="s">
        <v>65</v>
      </c>
      <c r="C67" s="924" t="s">
        <v>134</v>
      </c>
      <c r="D67" s="824" t="s">
        <v>134</v>
      </c>
      <c r="E67" s="860" t="str">
        <f>VLOOKUP(D67,Poeng!$B$10:$R$252,Poeng!E$1,FALSE)</f>
        <v>Ene 01 Energy efficiency</v>
      </c>
      <c r="F67" s="865">
        <f>VLOOKUP(D67,Poeng!$B$10:$AB$252,Poeng!AB$1,FALSE)</f>
        <v>12</v>
      </c>
      <c r="G67" s="1000"/>
      <c r="H67" s="866" t="str">
        <f>VLOOKUP(D67,Poeng!$B$10:$AI$252,Poeng!AI$1,FALSE)&amp;" c. "&amp;ROUND(VLOOKUP(D67,Poeng!$B$10:$AE$252,Poeng!AE$1,FALSE)*100,1)&amp;" %"</f>
        <v>0 c. 0 %</v>
      </c>
      <c r="I67" s="923" t="str">
        <f>VLOOKUP(D67,Poeng!$B$10:$BE$252,Poeng!BE$1,FALSE)</f>
        <v>N/A</v>
      </c>
      <c r="J67" s="874"/>
      <c r="K67" s="875"/>
      <c r="L67" s="876"/>
      <c r="M67" s="815"/>
      <c r="N67" s="1001"/>
      <c r="O67" s="1093" t="str">
        <f>VLOOKUP(D67,Poeng!$B$10:$BC$252,Poeng!AJ$1,FALSE)&amp;" c. "&amp;ROUND(VLOOKUP(D67,Poeng!$B$10:$BC$252,Poeng!AF$1,FALSE)*100,1)&amp;" %"</f>
        <v>0 c. 0 %</v>
      </c>
      <c r="P67" s="123" t="str">
        <f>VLOOKUP(D67,Poeng!$B$10:$BH$252,Poeng!BH$1,FALSE)</f>
        <v>N/A</v>
      </c>
      <c r="Q67" s="744"/>
      <c r="R67" s="745"/>
      <c r="S67" s="738"/>
      <c r="T67" s="319"/>
      <c r="U67" s="1001"/>
      <c r="V67" s="877" t="str">
        <f>VLOOKUP(D67,Poeng!$B$10:$BC$252,Poeng!AK$1,FALSE)&amp;" c. "&amp;ROUND(VLOOKUP(D67,Poeng!$B$10:$BC$252,Poeng!AG$1,FALSE)*100,1)&amp;" %"</f>
        <v>0 c. 0 %</v>
      </c>
      <c r="W67" s="123" t="str">
        <f>VLOOKUP(D67,Poeng!$B$10:$BK$252,Poeng!BK$1,FALSE)</f>
        <v>N/A</v>
      </c>
      <c r="X67" s="81"/>
      <c r="Y67" s="80"/>
      <c r="Z67" s="738"/>
      <c r="AA67" s="133"/>
      <c r="AB67" s="640" t="s">
        <v>13</v>
      </c>
      <c r="AC67" s="107">
        <f t="shared" si="0"/>
        <v>1</v>
      </c>
      <c r="AD67" s="3" t="e">
        <f>VLOOKUP(K67,'Assessment Details'!$O$45:$P$48,2,FALSE)</f>
        <v>#N/A</v>
      </c>
      <c r="AE67" s="3" t="e">
        <f>VLOOKUP(R67,'Assessment Details'!$O$45:$P$48,2,FALSE)</f>
        <v>#N/A</v>
      </c>
      <c r="AF67" s="3" t="e">
        <f>VLOOKUP(Y67,'Assessment Details'!$O$45:$P$48,2,FALSE)</f>
        <v>#N/A</v>
      </c>
      <c r="AI67" s="70"/>
      <c r="AJ67" s="671" t="s">
        <v>127</v>
      </c>
      <c r="AK67" s="648" t="s">
        <v>405</v>
      </c>
      <c r="AL67" s="648" t="s">
        <v>407</v>
      </c>
      <c r="AM67" s="70"/>
      <c r="AN67" s="70"/>
      <c r="AO67" s="70"/>
      <c r="AP67" s="70"/>
      <c r="AR67" s="1" t="s">
        <v>13</v>
      </c>
      <c r="AS67" s="23" t="str">
        <f t="shared" si="3"/>
        <v>N/A</v>
      </c>
      <c r="AT67" s="23" t="str">
        <f t="shared" si="1"/>
        <v>N/A</v>
      </c>
      <c r="AU67" s="23" t="str">
        <f t="shared" si="2"/>
        <v>N/A</v>
      </c>
      <c r="AV67" s="23"/>
      <c r="AW67" s="23"/>
      <c r="AX67" s="23"/>
      <c r="AZ67" s="640"/>
    </row>
    <row r="68" spans="1:52" x14ac:dyDescent="0.25">
      <c r="A68" s="1076">
        <v>59</v>
      </c>
      <c r="B68" s="1077" t="s">
        <v>65</v>
      </c>
      <c r="C68" s="1082" t="str">
        <f t="shared" si="7"/>
        <v>Ene 01</v>
      </c>
      <c r="D68" s="19" t="s">
        <v>744</v>
      </c>
      <c r="E68" s="861" t="str">
        <f>VLOOKUP(D68,Poeng!$B$10:$R$252,Poeng!E$1,FALSE)</f>
        <v xml:space="preserve">Passive design </v>
      </c>
      <c r="F68" s="122">
        <f>VLOOKUP(D68,Poeng!$B$10:$AB$252,Poeng!AB$1,FALSE)</f>
        <v>2</v>
      </c>
      <c r="G68" s="43"/>
      <c r="H68" s="123">
        <f>VLOOKUP(D68,Poeng!$B$10:$AE$252,Poeng!AE$1,FALSE)</f>
        <v>0</v>
      </c>
      <c r="I68" s="124" t="str">
        <f>VLOOKUP(D68,Poeng!$B$10:$BE$252,Poeng!BE$1,FALSE)</f>
        <v>N/A</v>
      </c>
      <c r="J68" s="80"/>
      <c r="K68" s="281"/>
      <c r="L68" s="738"/>
      <c r="M68" s="816"/>
      <c r="N68" s="83"/>
      <c r="O68" s="123">
        <f>VLOOKUP(D68,Poeng!$B$10:$BC$252,Poeng!AF$1,FALSE)</f>
        <v>0</v>
      </c>
      <c r="P68" s="123" t="str">
        <f>VLOOKUP(D68,Poeng!$B$10:$BH$252,Poeng!BH$1,FALSE)</f>
        <v>N/A</v>
      </c>
      <c r="Q68" s="744"/>
      <c r="R68" s="745"/>
      <c r="S68" s="738"/>
      <c r="T68" s="319"/>
      <c r="U68" s="83"/>
      <c r="V68" s="123">
        <f>VLOOKUP(D68,Poeng!$B$10:$BC$252,Poeng!AG$1,FALSE)</f>
        <v>0</v>
      </c>
      <c r="W68" s="123" t="str">
        <f>VLOOKUP(D68,Poeng!$B$10:$BK$252,Poeng!BK$1,FALSE)</f>
        <v>N/A</v>
      </c>
      <c r="X68" s="81"/>
      <c r="Y68" s="80"/>
      <c r="Z68" s="738"/>
      <c r="AC68" s="107">
        <f t="shared" si="0"/>
        <v>1</v>
      </c>
      <c r="AD68" s="3" t="e">
        <f>VLOOKUP(K68,'Assessment Details'!$O$45:$P$48,2,FALSE)</f>
        <v>#N/A</v>
      </c>
      <c r="AE68" s="3" t="e">
        <f>VLOOKUP(R68,'Assessment Details'!$O$45:$P$48,2,FALSE)</f>
        <v>#N/A</v>
      </c>
      <c r="AF68" s="3" t="e">
        <f>VLOOKUP(Y68,'Assessment Details'!$O$45:$P$48,2,FALSE)</f>
        <v>#N/A</v>
      </c>
    </row>
    <row r="69" spans="1:52" x14ac:dyDescent="0.25">
      <c r="A69" s="1076">
        <v>60</v>
      </c>
      <c r="B69" s="1077" t="s">
        <v>65</v>
      </c>
      <c r="C69" s="1082" t="str">
        <f t="shared" si="7"/>
        <v>Ene 01</v>
      </c>
      <c r="D69" s="19" t="s">
        <v>745</v>
      </c>
      <c r="E69" s="861" t="str">
        <f>VLOOKUP(D69,Poeng!$B$10:$R$252,Poeng!E$1,FALSE)</f>
        <v xml:space="preserve">Low and zero carbon technologies </v>
      </c>
      <c r="F69" s="122">
        <f>VLOOKUP(D69,Poeng!$B$10:$AB$252,Poeng!AB$1,FALSE)</f>
        <v>1</v>
      </c>
      <c r="G69" s="43"/>
      <c r="H69" s="123">
        <f>VLOOKUP(D69,Poeng!$B$10:$AE$252,Poeng!AE$1,FALSE)</f>
        <v>0</v>
      </c>
      <c r="I69" s="124" t="str">
        <f>VLOOKUP(D69,Poeng!$B$10:$BE$252,Poeng!BE$1,FALSE)</f>
        <v>N/A</v>
      </c>
      <c r="J69" s="80"/>
      <c r="K69" s="281"/>
      <c r="L69" s="796"/>
      <c r="M69" s="816"/>
      <c r="N69" s="83"/>
      <c r="O69" s="123">
        <f>VLOOKUP(D69,Poeng!$B$10:$BC$252,Poeng!AF$1,FALSE)</f>
        <v>0</v>
      </c>
      <c r="P69" s="123" t="str">
        <f>VLOOKUP(D69,Poeng!$B$10:$BH$252,Poeng!BH$1,FALSE)</f>
        <v>N/A</v>
      </c>
      <c r="Q69" s="744"/>
      <c r="R69" s="745"/>
      <c r="S69" s="738"/>
      <c r="T69" s="319"/>
      <c r="U69" s="83"/>
      <c r="V69" s="123">
        <f>VLOOKUP(D69,Poeng!$B$10:$BC$252,Poeng!AG$1,FALSE)</f>
        <v>0</v>
      </c>
      <c r="W69" s="123" t="str">
        <f>VLOOKUP(D69,Poeng!$B$10:$BK$252,Poeng!BK$1,FALSE)</f>
        <v>N/A</v>
      </c>
      <c r="X69" s="81"/>
      <c r="Y69" s="80"/>
      <c r="Z69" s="738"/>
      <c r="AC69" s="107">
        <f t="shared" si="0"/>
        <v>1</v>
      </c>
      <c r="AD69" s="3" t="e">
        <f>VLOOKUP(K69,'Assessment Details'!$O$45:$P$48,2,FALSE)</f>
        <v>#N/A</v>
      </c>
      <c r="AE69" s="3" t="e">
        <f>VLOOKUP(R69,'Assessment Details'!$O$45:$P$48,2,FALSE)</f>
        <v>#N/A</v>
      </c>
      <c r="AF69" s="3" t="e">
        <f>VLOOKUP(Y69,'Assessment Details'!$O$45:$P$48,2,FALSE)</f>
        <v>#N/A</v>
      </c>
    </row>
    <row r="70" spans="1:52" x14ac:dyDescent="0.25">
      <c r="A70" s="1076">
        <v>61</v>
      </c>
      <c r="B70" s="1077" t="s">
        <v>65</v>
      </c>
      <c r="C70" s="1082" t="str">
        <f>C69</f>
        <v>Ene 01</v>
      </c>
      <c r="D70" s="19" t="s">
        <v>746</v>
      </c>
      <c r="E70" s="861" t="str">
        <f>VLOOKUP(D70,Poeng!$B$10:$R$252,Poeng!E$1,FALSE)</f>
        <v xml:space="preserve">Energy performance </v>
      </c>
      <c r="F70" s="122">
        <f>VLOOKUP(D70,Poeng!$B$10:$AB$252,Poeng!AB$1,FALSE)</f>
        <v>4</v>
      </c>
      <c r="G70" s="43"/>
      <c r="H70" s="123">
        <f>VLOOKUP(D70,Poeng!$B$10:$AE$252,Poeng!AE$1,FALSE)</f>
        <v>0</v>
      </c>
      <c r="I70" s="124" t="str">
        <f>VLOOKUP(D70,Poeng!$B$10:$BE$252,Poeng!BE$1,FALSE)</f>
        <v>Very Good</v>
      </c>
      <c r="J70" s="80"/>
      <c r="K70" s="281"/>
      <c r="L70" s="796"/>
      <c r="M70" s="816"/>
      <c r="N70" s="83"/>
      <c r="O70" s="123">
        <f>VLOOKUP(D70,Poeng!$B$10:$BC$252,Poeng!AF$1,FALSE)</f>
        <v>0</v>
      </c>
      <c r="P70" s="123" t="str">
        <f>VLOOKUP(D70,Poeng!$B$10:$BH$252,Poeng!BH$1,FALSE)</f>
        <v>Very Good</v>
      </c>
      <c r="Q70" s="744"/>
      <c r="R70" s="745"/>
      <c r="S70" s="738"/>
      <c r="T70" s="319"/>
      <c r="U70" s="83"/>
      <c r="V70" s="123">
        <f>VLOOKUP(D70,Poeng!$B$10:$BC$252,Poeng!AG$1,FALSE)</f>
        <v>0</v>
      </c>
      <c r="W70" s="123" t="str">
        <f>VLOOKUP(D70,Poeng!$B$10:$BK$252,Poeng!BK$1,FALSE)</f>
        <v>Very Good</v>
      </c>
      <c r="X70" s="81"/>
      <c r="Y70" s="80"/>
      <c r="Z70" s="738"/>
      <c r="AC70" s="107">
        <f t="shared" si="0"/>
        <v>1</v>
      </c>
      <c r="AD70" s="3" t="e">
        <f>VLOOKUP(K70,'Assessment Details'!$O$45:$P$48,2,FALSE)</f>
        <v>#N/A</v>
      </c>
      <c r="AE70" s="3" t="e">
        <f>VLOOKUP(R70,'Assessment Details'!$O$45:$P$48,2,FALSE)</f>
        <v>#N/A</v>
      </c>
      <c r="AF70" s="3" t="e">
        <f>VLOOKUP(Y70,'Assessment Details'!$O$45:$P$48,2,FALSE)</f>
        <v>#N/A</v>
      </c>
    </row>
    <row r="71" spans="1:52" x14ac:dyDescent="0.25">
      <c r="A71" s="1076">
        <v>62</v>
      </c>
      <c r="B71" s="1077" t="s">
        <v>65</v>
      </c>
      <c r="C71" s="1082" t="str">
        <f>C69</f>
        <v>Ene 01</v>
      </c>
      <c r="D71" s="19" t="s">
        <v>1030</v>
      </c>
      <c r="E71" s="1255" t="str">
        <f>VLOOKUP(D71,Poeng!$B$10:$R$259,Poeng!E$1,FALSE)</f>
        <v>EU taxonomy requirements: criterion 9 and 10</v>
      </c>
      <c r="F71" s="122" t="str">
        <f>VLOOKUP(D71,Poeng!$B$10:$AB$259,Poeng!AB$1,FALSE)</f>
        <v>Yes/No</v>
      </c>
      <c r="G71" s="43"/>
      <c r="H71" s="123" t="str">
        <f>VLOOKUP(D71,Poeng!$B$10:$AE$259,Poeng!AE$1,FALSE)</f>
        <v>-</v>
      </c>
      <c r="I71" s="124" t="str">
        <f>VLOOKUP(D71,Poeng!$B$10:$BE$259,Poeng!BE$1,FALSE)</f>
        <v>N/A</v>
      </c>
      <c r="J71" s="80"/>
      <c r="K71" s="281"/>
      <c r="L71" s="796"/>
      <c r="M71" s="816"/>
      <c r="N71" s="83"/>
      <c r="O71" s="123" t="str">
        <f>VLOOKUP(D71,Poeng!$B$10:$BC$259,Poeng!AF$1,FALSE)</f>
        <v>-</v>
      </c>
      <c r="P71" s="123" t="str">
        <f>VLOOKUP(D71,Poeng!$B$10:$BH$259,Poeng!BH$1,FALSE)</f>
        <v>N/A</v>
      </c>
      <c r="Q71" s="744"/>
      <c r="R71" s="745"/>
      <c r="S71" s="738"/>
      <c r="T71" s="319"/>
      <c r="U71" s="83"/>
      <c r="V71" s="123" t="str">
        <f>VLOOKUP(D71,Poeng!$B$10:$BC$259,Poeng!AG$1,FALSE)</f>
        <v>-</v>
      </c>
      <c r="W71" s="123" t="str">
        <f>VLOOKUP(D71,Poeng!$B$10:$BK$259,Poeng!BK$1,FALSE)</f>
        <v>N/A</v>
      </c>
      <c r="X71" s="81"/>
      <c r="Y71" s="80"/>
      <c r="Z71" s="738"/>
      <c r="AC71" s="107">
        <f t="shared" ref="AC71" si="10">IF(F71="",1,IF(F71=0,2,1))</f>
        <v>1</v>
      </c>
      <c r="AD71" s="3" t="e">
        <f>VLOOKUP(K71,'Assessment Details'!$O$45:$P$48,2,FALSE)</f>
        <v>#N/A</v>
      </c>
      <c r="AE71" s="3" t="e">
        <f>VLOOKUP(R71,'Assessment Details'!$O$45:$P$48,2,FALSE)</f>
        <v>#N/A</v>
      </c>
      <c r="AF71" s="3" t="e">
        <f>VLOOKUP(Y71,'Assessment Details'!$O$45:$P$48,2,FALSE)</f>
        <v>#N/A</v>
      </c>
    </row>
    <row r="72" spans="1:52" x14ac:dyDescent="0.25">
      <c r="A72" s="1076">
        <v>63</v>
      </c>
      <c r="B72" s="1077" t="s">
        <v>65</v>
      </c>
      <c r="C72" s="1082" t="str">
        <f>C70</f>
        <v>Ene 01</v>
      </c>
      <c r="D72" s="19" t="s">
        <v>747</v>
      </c>
      <c r="E72" s="861" t="str">
        <f>VLOOKUP(D72,Poeng!$B$10:$R$252,Poeng!E$1,FALSE)</f>
        <v>Adaptation to EU taxonomy</v>
      </c>
      <c r="F72" s="122">
        <f>VLOOKUP(D72,Poeng!$B$10:$AB$252,Poeng!AB$1,FALSE)</f>
        <v>1</v>
      </c>
      <c r="G72" s="43"/>
      <c r="H72" s="123">
        <f>VLOOKUP(D72,Poeng!$B$10:$AE$252,Poeng!AE$1,FALSE)</f>
        <v>0</v>
      </c>
      <c r="I72" s="124" t="str">
        <f>VLOOKUP(D72,Poeng!$B$10:$BE$252,Poeng!BE$1,FALSE)</f>
        <v>Very Good</v>
      </c>
      <c r="J72" s="80"/>
      <c r="K72" s="281"/>
      <c r="L72" s="796"/>
      <c r="M72" s="816"/>
      <c r="N72" s="83"/>
      <c r="O72" s="123">
        <f>VLOOKUP(D72,Poeng!$B$10:$BC$252,Poeng!AF$1,FALSE)</f>
        <v>0</v>
      </c>
      <c r="P72" s="123" t="str">
        <f>VLOOKUP(D72,Poeng!$B$10:$BH$252,Poeng!BH$1,FALSE)</f>
        <v>Very Good</v>
      </c>
      <c r="Q72" s="744"/>
      <c r="R72" s="745"/>
      <c r="S72" s="738"/>
      <c r="T72" s="319"/>
      <c r="U72" s="83"/>
      <c r="V72" s="123">
        <f>VLOOKUP(D72,Poeng!$B$10:$BC$252,Poeng!AG$1,FALSE)</f>
        <v>0</v>
      </c>
      <c r="W72" s="123" t="str">
        <f>VLOOKUP(D72,Poeng!$B$10:$BK$252,Poeng!BK$1,FALSE)</f>
        <v>Very Good</v>
      </c>
      <c r="X72" s="81"/>
      <c r="Y72" s="80"/>
      <c r="Z72" s="738"/>
      <c r="AC72" s="107">
        <f t="shared" si="0"/>
        <v>1</v>
      </c>
      <c r="AD72" s="3" t="e">
        <f>VLOOKUP(K72,'Assessment Details'!$O$45:$P$48,2,FALSE)</f>
        <v>#N/A</v>
      </c>
      <c r="AE72" s="3" t="e">
        <f>VLOOKUP(R72,'Assessment Details'!$O$45:$P$48,2,FALSE)</f>
        <v>#N/A</v>
      </c>
      <c r="AF72" s="3" t="e">
        <f>VLOOKUP(Y72,'Assessment Details'!$O$45:$P$48,2,FALSE)</f>
        <v>#N/A</v>
      </c>
    </row>
    <row r="73" spans="1:52" x14ac:dyDescent="0.25">
      <c r="A73" s="1076">
        <v>64</v>
      </c>
      <c r="B73" s="1077" t="s">
        <v>65</v>
      </c>
      <c r="C73" s="1082" t="s">
        <v>134</v>
      </c>
      <c r="D73" s="19" t="s">
        <v>1112</v>
      </c>
      <c r="E73" s="1255" t="str">
        <f>VLOOKUP(D73,Poeng!$B$10:$R$259,Poeng!E$1,FALSE)</f>
        <v>EU taxonomy requirements: criterion 12</v>
      </c>
      <c r="F73" s="122" t="str">
        <f>VLOOKUP(D73,Poeng!$B$10:$AB$259,Poeng!AB$1,FALSE)</f>
        <v>Yes/No</v>
      </c>
      <c r="G73" s="43"/>
      <c r="H73" s="123" t="str">
        <f>VLOOKUP(D73,Poeng!$B$10:$AE$259,Poeng!AE$1,FALSE)</f>
        <v>-</v>
      </c>
      <c r="I73" s="124" t="str">
        <f>VLOOKUP(D73,Poeng!$B$10:$BE$259,Poeng!BE$1,FALSE)</f>
        <v>N/A</v>
      </c>
      <c r="J73" s="80"/>
      <c r="K73" s="281"/>
      <c r="L73" s="796"/>
      <c r="M73" s="816"/>
      <c r="N73" s="83"/>
      <c r="O73" s="123" t="str">
        <f>VLOOKUP(D73,Poeng!$B$10:$BC$259,Poeng!AF$1,FALSE)</f>
        <v>-</v>
      </c>
      <c r="P73" s="123" t="str">
        <f>VLOOKUP(D73,Poeng!$B$10:$BH$259,Poeng!BH$1,FALSE)</f>
        <v>N/A</v>
      </c>
      <c r="Q73" s="744"/>
      <c r="R73" s="745"/>
      <c r="S73" s="738"/>
      <c r="T73" s="319"/>
      <c r="U73" s="83"/>
      <c r="V73" s="123" t="str">
        <f>VLOOKUP(D73,Poeng!$B$10:$BC$259,Poeng!AG$1,FALSE)</f>
        <v>-</v>
      </c>
      <c r="W73" s="123" t="str">
        <f>VLOOKUP(D73,Poeng!$B$10:$BK$259,Poeng!BK$1,FALSE)</f>
        <v>N/A</v>
      </c>
      <c r="X73" s="81"/>
      <c r="Y73" s="80"/>
      <c r="Z73" s="738"/>
      <c r="AC73" s="107"/>
      <c r="AD73" s="3"/>
      <c r="AE73" s="3"/>
      <c r="AF73" s="3"/>
    </row>
    <row r="74" spans="1:52" x14ac:dyDescent="0.25">
      <c r="A74" s="1076">
        <v>65</v>
      </c>
      <c r="B74" s="1077" t="s">
        <v>65</v>
      </c>
      <c r="C74" s="1082" t="str">
        <f>C72</f>
        <v>Ene 01</v>
      </c>
      <c r="D74" s="19" t="s">
        <v>748</v>
      </c>
      <c r="E74" s="861" t="str">
        <f>VLOOKUP(D74,Poeng!$B$10:$R$252,Poeng!E$1,FALSE)</f>
        <v xml:space="preserve">Prediction of operational energy consumption </v>
      </c>
      <c r="F74" s="122">
        <f>VLOOKUP(D74,Poeng!$B$10:$AB$252,Poeng!AB$1,FALSE)</f>
        <v>4</v>
      </c>
      <c r="G74" s="43"/>
      <c r="H74" s="123">
        <f>VLOOKUP(D74,Poeng!$B$10:$AE$252,Poeng!AE$1,FALSE)</f>
        <v>0</v>
      </c>
      <c r="I74" s="124" t="str">
        <f>VLOOKUP(D74,Poeng!$B$10:$BE$252,Poeng!BE$1,FALSE)</f>
        <v>N/A</v>
      </c>
      <c r="J74" s="80"/>
      <c r="K74" s="281"/>
      <c r="L74" s="796"/>
      <c r="M74" s="816"/>
      <c r="N74" s="83"/>
      <c r="O74" s="123">
        <f>VLOOKUP(D74,Poeng!$B$10:$BC$252,Poeng!AF$1,FALSE)</f>
        <v>0</v>
      </c>
      <c r="P74" s="123" t="str">
        <f>VLOOKUP(D74,Poeng!$B$10:$BH$252,Poeng!BH$1,FALSE)</f>
        <v>N/A</v>
      </c>
      <c r="Q74" s="744"/>
      <c r="R74" s="745"/>
      <c r="S74" s="738"/>
      <c r="T74" s="319"/>
      <c r="U74" s="83"/>
      <c r="V74" s="123">
        <f>VLOOKUP(D74,Poeng!$B$10:$BC$252,Poeng!AG$1,FALSE)</f>
        <v>0</v>
      </c>
      <c r="W74" s="123" t="str">
        <f>VLOOKUP(D74,Poeng!$B$10:$BK$252,Poeng!BK$1,FALSE)</f>
        <v>N/A</v>
      </c>
      <c r="X74" s="81"/>
      <c r="Y74" s="80"/>
      <c r="Z74" s="738"/>
      <c r="AC74" s="107">
        <f t="shared" si="0"/>
        <v>1</v>
      </c>
      <c r="AD74" s="3" t="e">
        <f>VLOOKUP(K74,'Assessment Details'!$O$45:$P$48,2,FALSE)</f>
        <v>#N/A</v>
      </c>
      <c r="AE74" s="3" t="e">
        <f>VLOOKUP(R74,'Assessment Details'!$O$45:$P$48,2,FALSE)</f>
        <v>#N/A</v>
      </c>
      <c r="AF74" s="3" t="e">
        <f>VLOOKUP(Y74,'Assessment Details'!$O$45:$P$48,2,FALSE)</f>
        <v>#N/A</v>
      </c>
    </row>
    <row r="75" spans="1:52" ht="24" x14ac:dyDescent="0.25">
      <c r="A75" s="1076">
        <v>66</v>
      </c>
      <c r="B75" s="1077" t="s">
        <v>65</v>
      </c>
      <c r="C75" s="924" t="s">
        <v>135</v>
      </c>
      <c r="D75" s="824" t="s">
        <v>135</v>
      </c>
      <c r="E75" s="860" t="str">
        <f>VLOOKUP(D75,Poeng!$B$10:$R$252,Poeng!E$1,FALSE)</f>
        <v>Ene 02 Energy monitoring</v>
      </c>
      <c r="F75" s="865">
        <f>VLOOKUP(D75,Poeng!$B$10:$AB$252,Poeng!AB$1,FALSE)</f>
        <v>2</v>
      </c>
      <c r="G75" s="1001"/>
      <c r="H75" s="866" t="str">
        <f>VLOOKUP(D75,Poeng!$B$10:$AI$252,Poeng!AI$1,FALSE)&amp;" c. "&amp;ROUND(VLOOKUP(D75,Poeng!$B$10:$AE$252,Poeng!AE$1,FALSE)*100,1)&amp;" %"</f>
        <v>0 c. 0 %</v>
      </c>
      <c r="I75" s="924" t="str">
        <f>VLOOKUP(D75,Poeng!$B$10:$BE$252,Poeng!BE$1,FALSE)</f>
        <v>N/A</v>
      </c>
      <c r="J75" s="80"/>
      <c r="K75" s="281"/>
      <c r="L75" s="796"/>
      <c r="M75" s="816"/>
      <c r="N75" s="1001"/>
      <c r="O75" s="877" t="str">
        <f>VLOOKUP(D75,Poeng!$B$10:$BC$252,Poeng!AJ$1,FALSE)&amp;" c. "&amp;ROUND(VLOOKUP(D75,Poeng!$B$10:$BC$252,Poeng!AF$1,FALSE)*100,1)&amp;" %"</f>
        <v>0 c. 0 %</v>
      </c>
      <c r="P75" s="123" t="str">
        <f>VLOOKUP(D75,Poeng!$B$10:$BH$252,Poeng!BH$1,FALSE)</f>
        <v>N/A</v>
      </c>
      <c r="Q75" s="744"/>
      <c r="R75" s="745"/>
      <c r="S75" s="738"/>
      <c r="T75" s="319"/>
      <c r="U75" s="1001"/>
      <c r="V75" s="877" t="str">
        <f>VLOOKUP(D75,Poeng!$B$10:$BC$252,Poeng!AK$1,FALSE)&amp;" c. "&amp;ROUND(VLOOKUP(D75,Poeng!$B$10:$BC$252,Poeng!AG$1,FALSE)*100,1)&amp;" %"</f>
        <v>0 c. 0 %</v>
      </c>
      <c r="W75" s="123" t="str">
        <f>VLOOKUP(D75,Poeng!$B$10:$BK$252,Poeng!BK$1,FALSE)</f>
        <v>N/A</v>
      </c>
      <c r="X75" s="81"/>
      <c r="Y75" s="80"/>
      <c r="Z75" s="738"/>
      <c r="AA75" s="133"/>
      <c r="AB75" s="684" t="s">
        <v>452</v>
      </c>
      <c r="AC75" s="107">
        <f t="shared" si="0"/>
        <v>1</v>
      </c>
      <c r="AD75" s="3" t="e">
        <f>VLOOKUP(K75,'Assessment Details'!$O$45:$P$48,2,FALSE)</f>
        <v>#N/A</v>
      </c>
      <c r="AE75" s="3" t="e">
        <f>VLOOKUP(R75,'Assessment Details'!$O$45:$P$48,2,FALSE)</f>
        <v>#N/A</v>
      </c>
      <c r="AF75" s="3" t="e">
        <f>VLOOKUP(Y75,'Assessment Details'!$O$45:$P$48,2,FALSE)</f>
        <v>#N/A</v>
      </c>
      <c r="AI75" s="70" t="str">
        <f>ais_ja</f>
        <v>Ja</v>
      </c>
      <c r="AJ75" s="671" t="s">
        <v>133</v>
      </c>
      <c r="AK75" s="653" t="s">
        <v>450</v>
      </c>
      <c r="AL75" s="653" t="s">
        <v>451</v>
      </c>
      <c r="AM75" s="653" t="s">
        <v>452</v>
      </c>
      <c r="AN75" s="653" t="s">
        <v>453</v>
      </c>
      <c r="AO75" s="653" t="s">
        <v>438</v>
      </c>
      <c r="AP75" s="70"/>
      <c r="AR75" s="1" t="str">
        <f>IF($AJ$8=ais_nei,AIS_NA,"No")</f>
        <v>No</v>
      </c>
      <c r="AS75" s="23" t="str">
        <f t="shared" ref="AS75:AX75" si="11">IF(OR($AJ$4=ais_nei,$AJ$8=ais_nei),AIS_NA,IF(AK75="",AIS_NA,AK75))</f>
        <v>N/A</v>
      </c>
      <c r="AT75" s="23" t="str">
        <f t="shared" si="11"/>
        <v>N/A</v>
      </c>
      <c r="AU75" s="23" t="str">
        <f t="shared" si="11"/>
        <v>N/A</v>
      </c>
      <c r="AV75" s="23" t="str">
        <f t="shared" si="11"/>
        <v>N/A</v>
      </c>
      <c r="AW75" s="23" t="str">
        <f t="shared" si="11"/>
        <v>N/A</v>
      </c>
      <c r="AX75" s="23" t="str">
        <f t="shared" si="11"/>
        <v>N/A</v>
      </c>
      <c r="AY75" s="1" t="s">
        <v>12</v>
      </c>
      <c r="AZ75" s="640"/>
    </row>
    <row r="76" spans="1:52" x14ac:dyDescent="0.25">
      <c r="A76" s="1076">
        <v>67</v>
      </c>
      <c r="B76" s="1077" t="s">
        <v>65</v>
      </c>
      <c r="C76" s="1082" t="str">
        <f t="shared" si="7"/>
        <v>Ene 02</v>
      </c>
      <c r="D76" s="824" t="s">
        <v>252</v>
      </c>
      <c r="E76" s="861" t="str">
        <f>VLOOKUP(D76,Poeng!$B$10:$R$252,Poeng!E$1,FALSE)</f>
        <v xml:space="preserve">Sub-metering of end-use categories </v>
      </c>
      <c r="F76" s="122">
        <f>VLOOKUP(D76,Poeng!$B$10:$AB$252,Poeng!AB$1,FALSE)</f>
        <v>1</v>
      </c>
      <c r="G76" s="43"/>
      <c r="H76" s="123">
        <f>VLOOKUP(D76,Poeng!$B$10:$AE$252,Poeng!AE$1,FALSE)</f>
        <v>0</v>
      </c>
      <c r="I76" s="124" t="str">
        <f>VLOOKUP(D76,Poeng!$B$10:$BE$252,Poeng!BE$1,FALSE)</f>
        <v>N/A</v>
      </c>
      <c r="J76" s="80"/>
      <c r="K76" s="281"/>
      <c r="L76" s="796"/>
      <c r="M76" s="816"/>
      <c r="N76" s="83"/>
      <c r="O76" s="123">
        <f>VLOOKUP(D76,Poeng!$B$10:$BC$252,Poeng!AF$1,FALSE)</f>
        <v>0</v>
      </c>
      <c r="P76" s="123" t="str">
        <f>VLOOKUP(D76,Poeng!$B$10:$BH$252,Poeng!BH$1,FALSE)</f>
        <v>N/A</v>
      </c>
      <c r="Q76" s="744"/>
      <c r="R76" s="745"/>
      <c r="S76" s="738"/>
      <c r="T76" s="319"/>
      <c r="U76" s="83"/>
      <c r="V76" s="123">
        <f>VLOOKUP(D76,Poeng!$B$10:$BC$252,Poeng!AG$1,FALSE)</f>
        <v>0</v>
      </c>
      <c r="W76" s="123" t="str">
        <f>VLOOKUP(D76,Poeng!$B$10:$BK$252,Poeng!BK$1,FALSE)</f>
        <v>N/A</v>
      </c>
      <c r="X76" s="81"/>
      <c r="Y76" s="80"/>
      <c r="Z76" s="738"/>
      <c r="AA76" s="133"/>
      <c r="AB76" s="684"/>
      <c r="AC76" s="107">
        <f t="shared" si="0"/>
        <v>1</v>
      </c>
      <c r="AD76" s="3" t="e">
        <f>VLOOKUP(K76,'Assessment Details'!$O$45:$P$48,2,FALSE)</f>
        <v>#N/A</v>
      </c>
      <c r="AE76" s="3" t="e">
        <f>VLOOKUP(R76,'Assessment Details'!$O$45:$P$48,2,FALSE)</f>
        <v>#N/A</v>
      </c>
      <c r="AF76" s="3" t="e">
        <f>VLOOKUP(Y76,'Assessment Details'!$O$45:$P$48,2,FALSE)</f>
        <v>#N/A</v>
      </c>
      <c r="AI76" s="70"/>
      <c r="AJ76" s="671"/>
      <c r="AK76" s="653"/>
      <c r="AL76" s="653"/>
      <c r="AM76" s="653"/>
      <c r="AN76" s="653"/>
      <c r="AO76" s="653"/>
      <c r="AP76" s="70"/>
      <c r="AS76" s="23"/>
      <c r="AT76" s="23"/>
      <c r="AU76" s="23"/>
      <c r="AV76" s="23"/>
      <c r="AW76" s="23"/>
      <c r="AX76" s="23"/>
      <c r="AZ76" s="640"/>
    </row>
    <row r="77" spans="1:52" x14ac:dyDescent="0.25">
      <c r="A77" s="1076">
        <v>68</v>
      </c>
      <c r="B77" s="1077" t="s">
        <v>65</v>
      </c>
      <c r="C77" s="1082" t="str">
        <f t="shared" si="7"/>
        <v>Ene 02</v>
      </c>
      <c r="D77" s="824" t="s">
        <v>354</v>
      </c>
      <c r="E77" s="861" t="str">
        <f>VLOOKUP(D77,Poeng!$B$10:$R$252,Poeng!E$1,FALSE)</f>
        <v xml:space="preserve">Sub-metering of high energy load and tenancy areas </v>
      </c>
      <c r="F77" s="122">
        <f>VLOOKUP(D77,Poeng!$B$10:$AB$252,Poeng!AB$1,FALSE)</f>
        <v>1</v>
      </c>
      <c r="G77" s="43"/>
      <c r="H77" s="123">
        <f>VLOOKUP(D77,Poeng!$B$10:$AE$252,Poeng!AE$1,FALSE)</f>
        <v>0</v>
      </c>
      <c r="I77" s="124" t="str">
        <f>VLOOKUP(D77,Poeng!$B$10:$BE$252,Poeng!BE$1,FALSE)</f>
        <v>N/A</v>
      </c>
      <c r="J77" s="80"/>
      <c r="K77" s="281"/>
      <c r="L77" s="796"/>
      <c r="M77" s="816"/>
      <c r="N77" s="83"/>
      <c r="O77" s="123">
        <f>VLOOKUP(D77,Poeng!$B$10:$BC$252,Poeng!AF$1,FALSE)</f>
        <v>0</v>
      </c>
      <c r="P77" s="123" t="str">
        <f>VLOOKUP(D77,Poeng!$B$10:$BH$252,Poeng!BH$1,FALSE)</f>
        <v>N/A</v>
      </c>
      <c r="Q77" s="744"/>
      <c r="R77" s="745"/>
      <c r="S77" s="738"/>
      <c r="T77" s="319"/>
      <c r="U77" s="83"/>
      <c r="V77" s="123">
        <f>VLOOKUP(D77,Poeng!$B$10:$BC$252,Poeng!AG$1,FALSE)</f>
        <v>0</v>
      </c>
      <c r="W77" s="123" t="str">
        <f>VLOOKUP(D77,Poeng!$B$10:$BK$252,Poeng!BK$1,FALSE)</f>
        <v>N/A</v>
      </c>
      <c r="X77" s="81"/>
      <c r="Y77" s="80"/>
      <c r="Z77" s="738"/>
      <c r="AA77" s="133"/>
      <c r="AB77" s="684"/>
      <c r="AC77" s="107">
        <f t="shared" si="0"/>
        <v>1</v>
      </c>
      <c r="AD77" s="3" t="e">
        <f>VLOOKUP(K77,'Assessment Details'!$O$45:$P$48,2,FALSE)</f>
        <v>#N/A</v>
      </c>
      <c r="AE77" s="3" t="e">
        <f>VLOOKUP(R77,'Assessment Details'!$O$45:$P$48,2,FALSE)</f>
        <v>#N/A</v>
      </c>
      <c r="AF77" s="3" t="e">
        <f>VLOOKUP(Y77,'Assessment Details'!$O$45:$P$48,2,FALSE)</f>
        <v>#N/A</v>
      </c>
      <c r="AI77" s="70"/>
      <c r="AJ77" s="671"/>
      <c r="AK77" s="653"/>
      <c r="AL77" s="653"/>
      <c r="AM77" s="653"/>
      <c r="AN77" s="653"/>
      <c r="AO77" s="653"/>
      <c r="AP77" s="70"/>
      <c r="AS77" s="23"/>
      <c r="AT77" s="23"/>
      <c r="AU77" s="23"/>
      <c r="AV77" s="23"/>
      <c r="AW77" s="23"/>
      <c r="AX77" s="23"/>
      <c r="AZ77" s="640"/>
    </row>
    <row r="78" spans="1:52" x14ac:dyDescent="0.25">
      <c r="A78" s="1076">
        <v>69</v>
      </c>
      <c r="B78" s="1077" t="s">
        <v>65</v>
      </c>
      <c r="C78" s="1082" t="str">
        <f t="shared" si="7"/>
        <v>Ene 02</v>
      </c>
      <c r="D78" s="824" t="s">
        <v>749</v>
      </c>
      <c r="E78" s="861" t="str">
        <f>VLOOKUP(D78,Poeng!$B$10:$R$252,Poeng!E$1,FALSE)</f>
        <v xml:space="preserve">Sub-metering of energy consumption in residential buildings </v>
      </c>
      <c r="F78" s="122">
        <f>VLOOKUP(D78,Poeng!$B$10:$AB$252,Poeng!AB$1,FALSE)</f>
        <v>0</v>
      </c>
      <c r="G78" s="43"/>
      <c r="H78" s="123">
        <f>VLOOKUP(D78,Poeng!$B$10:$AE$252,Poeng!AE$1,FALSE)</f>
        <v>0</v>
      </c>
      <c r="I78" s="124" t="str">
        <f>VLOOKUP(D78,Poeng!$B$10:$BE$252,Poeng!BE$1,FALSE)</f>
        <v>N/A</v>
      </c>
      <c r="J78" s="80"/>
      <c r="K78" s="281"/>
      <c r="L78" s="796"/>
      <c r="M78" s="816"/>
      <c r="N78" s="83"/>
      <c r="O78" s="123">
        <f>VLOOKUP(D78,Poeng!$B$10:$BC$252,Poeng!AF$1,FALSE)</f>
        <v>0</v>
      </c>
      <c r="P78" s="123" t="str">
        <f>VLOOKUP(D78,Poeng!$B$10:$BH$252,Poeng!BH$1,FALSE)</f>
        <v>N/A</v>
      </c>
      <c r="Q78" s="744"/>
      <c r="R78" s="745"/>
      <c r="S78" s="738"/>
      <c r="T78" s="319"/>
      <c r="U78" s="83"/>
      <c r="V78" s="123">
        <f>VLOOKUP(D78,Poeng!$B$10:$BC$252,Poeng!AG$1,FALSE)</f>
        <v>0</v>
      </c>
      <c r="W78" s="123" t="str">
        <f>VLOOKUP(D78,Poeng!$B$10:$BK$252,Poeng!BK$1,FALSE)</f>
        <v>N/A</v>
      </c>
      <c r="X78" s="81"/>
      <c r="Y78" s="80"/>
      <c r="Z78" s="738"/>
      <c r="AA78" s="133"/>
      <c r="AB78" s="684"/>
      <c r="AC78" s="107">
        <f t="shared" si="0"/>
        <v>2</v>
      </c>
      <c r="AD78" s="3" t="e">
        <f>VLOOKUP(K78,'Assessment Details'!$O$45:$P$48,2,FALSE)</f>
        <v>#N/A</v>
      </c>
      <c r="AE78" s="3" t="e">
        <f>VLOOKUP(R78,'Assessment Details'!$O$45:$P$48,2,FALSE)</f>
        <v>#N/A</v>
      </c>
      <c r="AF78" s="3" t="e">
        <f>VLOOKUP(Y78,'Assessment Details'!$O$45:$P$48,2,FALSE)</f>
        <v>#N/A</v>
      </c>
      <c r="AI78" s="70"/>
      <c r="AJ78" s="671"/>
      <c r="AK78" s="653"/>
      <c r="AL78" s="653"/>
      <c r="AM78" s="653"/>
      <c r="AN78" s="653"/>
      <c r="AO78" s="653"/>
      <c r="AP78" s="70"/>
      <c r="AS78" s="23"/>
      <c r="AT78" s="23"/>
      <c r="AU78" s="23"/>
      <c r="AV78" s="23"/>
      <c r="AW78" s="23"/>
      <c r="AX78" s="23"/>
      <c r="AZ78" s="640"/>
    </row>
    <row r="79" spans="1:52" x14ac:dyDescent="0.25">
      <c r="A79" s="1076">
        <v>70</v>
      </c>
      <c r="B79" s="1077" t="s">
        <v>65</v>
      </c>
      <c r="C79" s="924" t="s">
        <v>136</v>
      </c>
      <c r="D79" s="824" t="s">
        <v>136</v>
      </c>
      <c r="E79" s="860" t="str">
        <f>VLOOKUP(D79,Poeng!$B$10:$R$252,Poeng!E$1,FALSE)</f>
        <v>Ene 03 External lighting</v>
      </c>
      <c r="F79" s="865">
        <f>VLOOKUP(D79,Poeng!$B$10:$AB$252,Poeng!AB$1,FALSE)</f>
        <v>1</v>
      </c>
      <c r="G79" s="1001"/>
      <c r="H79" s="866" t="str">
        <f>VLOOKUP(D79,Poeng!$B$10:$AI$252,Poeng!AI$1,FALSE)&amp;" c. "&amp;ROUND(VLOOKUP(D79,Poeng!$B$10:$AE$252,Poeng!AE$1,FALSE)*100,1)&amp;" %"</f>
        <v>0 c. 0 %</v>
      </c>
      <c r="I79" s="924" t="str">
        <f>VLOOKUP(D79,Poeng!$B$10:$BE$252,Poeng!BE$1,FALSE)</f>
        <v>N/A</v>
      </c>
      <c r="J79" s="80"/>
      <c r="K79" s="281"/>
      <c r="L79" s="796"/>
      <c r="M79" s="816"/>
      <c r="N79" s="1001"/>
      <c r="O79" s="877" t="str">
        <f>VLOOKUP(D79,Poeng!$B$10:$BC$252,Poeng!AJ$1,FALSE)&amp;" c. "&amp;ROUND(VLOOKUP(D79,Poeng!$B$10:$BC$252,Poeng!AF$1,FALSE)*100,1)&amp;" %"</f>
        <v>0 c. 0 %</v>
      </c>
      <c r="P79" s="123" t="str">
        <f>VLOOKUP(D79,Poeng!$B$10:$BH$252,Poeng!BH$1,FALSE)</f>
        <v>N/A</v>
      </c>
      <c r="Q79" s="744"/>
      <c r="R79" s="745"/>
      <c r="S79" s="738"/>
      <c r="T79" s="319"/>
      <c r="U79" s="1001"/>
      <c r="V79" s="877" t="str">
        <f>VLOOKUP(D79,Poeng!$B$10:$BC$252,Poeng!AK$1,FALSE)&amp;" c. "&amp;ROUND(VLOOKUP(D79,Poeng!$B$10:$BC$252,Poeng!AG$1,FALSE)*100,1)&amp;" %"</f>
        <v>0 c. 0 %</v>
      </c>
      <c r="W79" s="123" t="str">
        <f>VLOOKUP(D79,Poeng!$B$10:$BK$252,Poeng!BK$1,FALSE)</f>
        <v>N/A</v>
      </c>
      <c r="X79" s="81"/>
      <c r="Y79" s="80"/>
      <c r="Z79" s="738"/>
      <c r="AA79" s="133"/>
      <c r="AB79" s="640" t="s">
        <v>13</v>
      </c>
      <c r="AC79" s="107">
        <f t="shared" ref="AC79:AC144" si="12">IF(F79="",1,IF(F79=0,2,1))</f>
        <v>1</v>
      </c>
      <c r="AD79" s="3" t="e">
        <f>VLOOKUP(K79,'Assessment Details'!$O$45:$P$48,2,FALSE)</f>
        <v>#N/A</v>
      </c>
      <c r="AE79" s="3" t="e">
        <f>VLOOKUP(R79,'Assessment Details'!$O$45:$P$48,2,FALSE)</f>
        <v>#N/A</v>
      </c>
      <c r="AF79" s="3" t="e">
        <f>VLOOKUP(Y79,'Assessment Details'!$O$45:$P$48,2,FALSE)</f>
        <v>#N/A</v>
      </c>
      <c r="AI79" s="70" t="str">
        <f>ais_ja</f>
        <v>Ja</v>
      </c>
      <c r="AJ79" s="671" t="s">
        <v>128</v>
      </c>
      <c r="AK79" s="648" t="s">
        <v>405</v>
      </c>
      <c r="AL79" s="648" t="s">
        <v>409</v>
      </c>
      <c r="AM79" s="648" t="s">
        <v>407</v>
      </c>
      <c r="AN79" s="70"/>
      <c r="AO79" s="70"/>
      <c r="AP79" s="70"/>
      <c r="AR79" s="1" t="s">
        <v>13</v>
      </c>
      <c r="AS79" s="23" t="str">
        <f t="shared" si="3"/>
        <v>N/A</v>
      </c>
      <c r="AT79" s="23" t="str">
        <f t="shared" si="1"/>
        <v>N/A</v>
      </c>
      <c r="AU79" s="23" t="str">
        <f t="shared" si="2"/>
        <v>N/A</v>
      </c>
      <c r="AV79" s="23"/>
      <c r="AW79" s="23"/>
      <c r="AX79" s="23"/>
      <c r="AZ79" s="640"/>
    </row>
    <row r="80" spans="1:52" x14ac:dyDescent="0.25">
      <c r="A80" s="1076">
        <v>71</v>
      </c>
      <c r="B80" s="1077" t="s">
        <v>65</v>
      </c>
      <c r="C80" s="1082" t="str">
        <f t="shared" si="7"/>
        <v>Ene 03</v>
      </c>
      <c r="D80" s="824" t="s">
        <v>750</v>
      </c>
      <c r="E80" s="861" t="str">
        <f>VLOOKUP(D80,Poeng!$B$10:$R$252,Poeng!E$1,FALSE)</f>
        <v>No external lighting within the construction zone</v>
      </c>
      <c r="F80" s="122">
        <f>VLOOKUP(D80,Poeng!$B$10:$AB$252,Poeng!AB$1,FALSE)</f>
        <v>1</v>
      </c>
      <c r="G80" s="43"/>
      <c r="H80" s="123">
        <f>VLOOKUP(D80,Poeng!$B$10:$AE$252,Poeng!AE$1,FALSE)</f>
        <v>0</v>
      </c>
      <c r="I80" s="124" t="str">
        <f>VLOOKUP(D80,Poeng!$B$10:$BE$252,Poeng!BE$1,FALSE)</f>
        <v>N/A</v>
      </c>
      <c r="J80" s="80"/>
      <c r="K80" s="281"/>
      <c r="L80" s="796"/>
      <c r="M80" s="816"/>
      <c r="N80" s="83"/>
      <c r="O80" s="123">
        <f>VLOOKUP(D80,Poeng!$B$10:$BC$252,Poeng!AF$1,FALSE)</f>
        <v>0</v>
      </c>
      <c r="P80" s="123" t="str">
        <f>VLOOKUP(D80,Poeng!$B$10:$BH$252,Poeng!BH$1,FALSE)</f>
        <v>N/A</v>
      </c>
      <c r="Q80" s="744"/>
      <c r="R80" s="745"/>
      <c r="S80" s="738"/>
      <c r="T80" s="319"/>
      <c r="U80" s="83"/>
      <c r="V80" s="123">
        <f>VLOOKUP(D80,Poeng!$B$10:$BC$252,Poeng!AG$1,FALSE)</f>
        <v>0</v>
      </c>
      <c r="W80" s="123" t="str">
        <f>VLOOKUP(D80,Poeng!$B$10:$BK$252,Poeng!BK$1,FALSE)</f>
        <v>N/A</v>
      </c>
      <c r="X80" s="81"/>
      <c r="Y80" s="80"/>
      <c r="Z80" s="738"/>
      <c r="AA80" s="133"/>
      <c r="AB80" s="640"/>
      <c r="AC80" s="107">
        <f t="shared" si="12"/>
        <v>1</v>
      </c>
      <c r="AD80" s="3" t="e">
        <f>VLOOKUP(K80,'Assessment Details'!$O$45:$P$48,2,FALSE)</f>
        <v>#N/A</v>
      </c>
      <c r="AE80" s="3" t="e">
        <f>VLOOKUP(R80,'Assessment Details'!$O$45:$P$48,2,FALSE)</f>
        <v>#N/A</v>
      </c>
      <c r="AF80" s="3" t="e">
        <f>VLOOKUP(Y80,'Assessment Details'!$O$45:$P$48,2,FALSE)</f>
        <v>#N/A</v>
      </c>
      <c r="AI80" s="70"/>
      <c r="AJ80" s="671"/>
      <c r="AK80" s="648"/>
      <c r="AL80" s="648"/>
      <c r="AM80" s="648"/>
      <c r="AN80" s="70"/>
      <c r="AO80" s="70"/>
      <c r="AP80" s="70"/>
      <c r="AS80" s="23"/>
      <c r="AT80" s="23"/>
      <c r="AU80" s="23"/>
      <c r="AV80" s="23"/>
      <c r="AW80" s="23"/>
      <c r="AX80" s="23"/>
      <c r="AZ80" s="640"/>
    </row>
    <row r="81" spans="1:52" x14ac:dyDescent="0.25">
      <c r="A81" s="1076">
        <v>72</v>
      </c>
      <c r="B81" s="1077" t="s">
        <v>65</v>
      </c>
      <c r="C81" s="1082" t="str">
        <f t="shared" si="7"/>
        <v>Ene 03</v>
      </c>
      <c r="D81" s="824" t="s">
        <v>751</v>
      </c>
      <c r="E81" s="861" t="str">
        <f>VLOOKUP(D81,Poeng!$B$10:$R$252,Poeng!E$1,FALSE)</f>
        <v>External lighting within the construction zone</v>
      </c>
      <c r="F81" s="122">
        <f>VLOOKUP(D81,Poeng!$B$10:$AB$252,Poeng!AB$1,FALSE)</f>
        <v>0</v>
      </c>
      <c r="G81" s="43"/>
      <c r="H81" s="123">
        <f>VLOOKUP(D81,Poeng!$B$10:$AE$252,Poeng!AE$1,FALSE)</f>
        <v>0</v>
      </c>
      <c r="I81" s="124" t="str">
        <f>VLOOKUP(D81,Poeng!$B$10:$BE$252,Poeng!BE$1,FALSE)</f>
        <v>N/A</v>
      </c>
      <c r="J81" s="80"/>
      <c r="K81" s="281"/>
      <c r="L81" s="796"/>
      <c r="M81" s="816"/>
      <c r="N81" s="83"/>
      <c r="O81" s="123">
        <f>VLOOKUP(D81,Poeng!$B$10:$BC$252,Poeng!AF$1,FALSE)</f>
        <v>0</v>
      </c>
      <c r="P81" s="123" t="str">
        <f>VLOOKUP(D81,Poeng!$B$10:$BH$252,Poeng!BH$1,FALSE)</f>
        <v>N/A</v>
      </c>
      <c r="Q81" s="744"/>
      <c r="R81" s="745"/>
      <c r="S81" s="738"/>
      <c r="T81" s="319"/>
      <c r="U81" s="83"/>
      <c r="V81" s="123">
        <f>VLOOKUP(D81,Poeng!$B$10:$BC$252,Poeng!AG$1,FALSE)</f>
        <v>0</v>
      </c>
      <c r="W81" s="123" t="str">
        <f>VLOOKUP(D81,Poeng!$B$10:$BK$252,Poeng!BK$1,FALSE)</f>
        <v>N/A</v>
      </c>
      <c r="X81" s="81"/>
      <c r="Y81" s="80"/>
      <c r="Z81" s="738"/>
      <c r="AA81" s="133"/>
      <c r="AB81" s="640"/>
      <c r="AC81" s="107">
        <f t="shared" si="12"/>
        <v>2</v>
      </c>
      <c r="AD81" s="3" t="e">
        <f>VLOOKUP(K81,'Assessment Details'!$O$45:$P$48,2,FALSE)</f>
        <v>#N/A</v>
      </c>
      <c r="AE81" s="3" t="e">
        <f>VLOOKUP(R81,'Assessment Details'!$O$45:$P$48,2,FALSE)</f>
        <v>#N/A</v>
      </c>
      <c r="AF81" s="3" t="e">
        <f>VLOOKUP(Y81,'Assessment Details'!$O$45:$P$48,2,FALSE)</f>
        <v>#N/A</v>
      </c>
      <c r="AI81" s="70"/>
      <c r="AJ81" s="671"/>
      <c r="AK81" s="648"/>
      <c r="AL81" s="648"/>
      <c r="AM81" s="648"/>
      <c r="AN81" s="70"/>
      <c r="AO81" s="70"/>
      <c r="AP81" s="70"/>
      <c r="AS81" s="23"/>
      <c r="AT81" s="23"/>
      <c r="AU81" s="23"/>
      <c r="AV81" s="23"/>
      <c r="AW81" s="23"/>
      <c r="AX81" s="23"/>
      <c r="AZ81" s="640"/>
    </row>
    <row r="82" spans="1:52" x14ac:dyDescent="0.25">
      <c r="A82" s="1076">
        <v>73</v>
      </c>
      <c r="B82" s="1077" t="s">
        <v>65</v>
      </c>
      <c r="C82" s="924" t="s">
        <v>138</v>
      </c>
      <c r="D82" s="824" t="s">
        <v>138</v>
      </c>
      <c r="E82" s="860" t="str">
        <f>VLOOKUP(D82,Poeng!$B$10:$R$252,Poeng!E$1,FALSE)</f>
        <v>Ene 05 Energy efficient cold storage</v>
      </c>
      <c r="F82" s="865">
        <f>VLOOKUP(D82,Poeng!$B$10:$AB$252,Poeng!AB$1,FALSE)</f>
        <v>2</v>
      </c>
      <c r="G82" s="1001"/>
      <c r="H82" s="866" t="str">
        <f>VLOOKUP(D82,Poeng!$B$10:$AI$252,Poeng!AI$1,FALSE)&amp;" c. "&amp;ROUND(VLOOKUP(D82,Poeng!$B$10:$AE$252,Poeng!AE$1,FALSE)*100,1)&amp;" %"</f>
        <v>0 c. 0 %</v>
      </c>
      <c r="I82" s="924" t="str">
        <f>VLOOKUP(D82,Poeng!$B$10:$BE$252,Poeng!BE$1,FALSE)</f>
        <v>N/A</v>
      </c>
      <c r="J82" s="80"/>
      <c r="K82" s="281"/>
      <c r="L82" s="796"/>
      <c r="M82" s="816"/>
      <c r="N82" s="1001"/>
      <c r="O82" s="877" t="str">
        <f>VLOOKUP(D82,Poeng!$B$10:$BC$252,Poeng!AJ$1,FALSE)&amp;" c. "&amp;ROUND(VLOOKUP(D82,Poeng!$B$10:$BC$252,Poeng!AF$1,FALSE)*100,1)&amp;" %"</f>
        <v>0 c. 0 %</v>
      </c>
      <c r="P82" s="123" t="str">
        <f>VLOOKUP(D82,Poeng!$B$10:$BH$252,Poeng!BH$1,FALSE)</f>
        <v>N/A</v>
      </c>
      <c r="Q82" s="744"/>
      <c r="R82" s="745"/>
      <c r="S82" s="738"/>
      <c r="T82" s="319"/>
      <c r="U82" s="1001"/>
      <c r="V82" s="877" t="str">
        <f>VLOOKUP(D82,Poeng!$B$10:$BC$252,Poeng!AK$1,FALSE)&amp;" c. "&amp;ROUND(VLOOKUP(D82,Poeng!$B$10:$BC$252,Poeng!AG$1,FALSE)*100,1)&amp;" %"</f>
        <v>0 c. 0 %</v>
      </c>
      <c r="W82" s="123" t="str">
        <f>VLOOKUP(D82,Poeng!$B$10:$BK$252,Poeng!BK$1,FALSE)</f>
        <v>N/A</v>
      </c>
      <c r="X82" s="81"/>
      <c r="Y82" s="80"/>
      <c r="Z82" s="738"/>
      <c r="AA82" s="133"/>
      <c r="AB82" s="640" t="s">
        <v>13</v>
      </c>
      <c r="AC82" s="107">
        <f t="shared" si="12"/>
        <v>1</v>
      </c>
      <c r="AD82" s="3" t="e">
        <f>VLOOKUP(K82,'Assessment Details'!$O$45:$P$48,2,FALSE)</f>
        <v>#N/A</v>
      </c>
      <c r="AE82" s="3" t="e">
        <f>VLOOKUP(R82,'Assessment Details'!$O$45:$P$48,2,FALSE)</f>
        <v>#N/A</v>
      </c>
      <c r="AF82" s="3" t="e">
        <f>VLOOKUP(Y82,'Assessment Details'!$O$45:$P$48,2,FALSE)</f>
        <v>#N/A</v>
      </c>
      <c r="AI82" s="70" t="str">
        <f>ais_ja</f>
        <v>Ja</v>
      </c>
      <c r="AJ82" s="671" t="s">
        <v>129</v>
      </c>
      <c r="AK82" s="648" t="s">
        <v>405</v>
      </c>
      <c r="AL82" s="648" t="s">
        <v>409</v>
      </c>
      <c r="AM82" s="648" t="s">
        <v>407</v>
      </c>
      <c r="AN82" s="70"/>
      <c r="AO82" s="70"/>
      <c r="AP82" s="70"/>
      <c r="AR82" s="1" t="s">
        <v>13</v>
      </c>
      <c r="AS82" s="23" t="str">
        <f t="shared" si="3"/>
        <v>N/A</v>
      </c>
      <c r="AT82" s="23" t="str">
        <f t="shared" si="1"/>
        <v>N/A</v>
      </c>
      <c r="AU82" s="23" t="str">
        <f t="shared" si="2"/>
        <v>N/A</v>
      </c>
      <c r="AV82" s="23"/>
      <c r="AW82" s="23"/>
      <c r="AX82" s="23"/>
      <c r="AZ82" s="640"/>
    </row>
    <row r="83" spans="1:52" x14ac:dyDescent="0.25">
      <c r="A83" s="1076">
        <v>74</v>
      </c>
      <c r="B83" s="1077" t="s">
        <v>65</v>
      </c>
      <c r="C83" s="1082" t="str">
        <f t="shared" si="7"/>
        <v>Ene 05</v>
      </c>
      <c r="D83" s="824" t="s">
        <v>752</v>
      </c>
      <c r="E83" s="861" t="str">
        <f>VLOOKUP(D83,Poeng!$B$10:$R$252,Poeng!E$1,FALSE)</f>
        <v xml:space="preserve">Design of energy efficient refrigeration- and freezing room </v>
      </c>
      <c r="F83" s="122">
        <f>VLOOKUP(D83,Poeng!$B$10:$AB$252,Poeng!AB$1,FALSE)</f>
        <v>1</v>
      </c>
      <c r="G83" s="43"/>
      <c r="H83" s="123">
        <f>VLOOKUP(D83,Poeng!$B$10:$AE$252,Poeng!AE$1,FALSE)</f>
        <v>0</v>
      </c>
      <c r="I83" s="124" t="str">
        <f>VLOOKUP(D83,Poeng!$B$10:$BE$252,Poeng!BE$1,FALSE)</f>
        <v>N/A</v>
      </c>
      <c r="J83" s="80"/>
      <c r="K83" s="281"/>
      <c r="L83" s="796"/>
      <c r="M83" s="816"/>
      <c r="N83" s="83"/>
      <c r="O83" s="123">
        <f>VLOOKUP(D83,Poeng!$B$10:$BC$252,Poeng!AF$1,FALSE)</f>
        <v>0</v>
      </c>
      <c r="P83" s="123" t="str">
        <f>VLOOKUP(D83,Poeng!$B$10:$BH$252,Poeng!BH$1,FALSE)</f>
        <v>N/A</v>
      </c>
      <c r="Q83" s="744"/>
      <c r="R83" s="745"/>
      <c r="S83" s="738"/>
      <c r="T83" s="319"/>
      <c r="U83" s="83"/>
      <c r="V83" s="123">
        <f>VLOOKUP(D83,Poeng!$B$10:$BC$252,Poeng!AG$1,FALSE)</f>
        <v>0</v>
      </c>
      <c r="W83" s="123" t="str">
        <f>VLOOKUP(D83,Poeng!$B$10:$BK$252,Poeng!BK$1,FALSE)</f>
        <v>N/A</v>
      </c>
      <c r="X83" s="81"/>
      <c r="Y83" s="80"/>
      <c r="Z83" s="738"/>
      <c r="AA83" s="133"/>
      <c r="AB83" s="640"/>
      <c r="AC83" s="107">
        <f t="shared" si="12"/>
        <v>1</v>
      </c>
      <c r="AD83" s="3" t="e">
        <f>VLOOKUP(K83,'Assessment Details'!$O$45:$P$48,2,FALSE)</f>
        <v>#N/A</v>
      </c>
      <c r="AE83" s="3" t="e">
        <f>VLOOKUP(R83,'Assessment Details'!$O$45:$P$48,2,FALSE)</f>
        <v>#N/A</v>
      </c>
      <c r="AF83" s="3" t="e">
        <f>VLOOKUP(Y83,'Assessment Details'!$O$45:$P$48,2,FALSE)</f>
        <v>#N/A</v>
      </c>
      <c r="AI83" s="70"/>
      <c r="AJ83" s="671"/>
      <c r="AK83" s="648"/>
      <c r="AL83" s="648"/>
      <c r="AM83" s="648"/>
      <c r="AN83" s="70"/>
      <c r="AO83" s="70"/>
      <c r="AP83" s="70"/>
      <c r="AS83" s="23"/>
      <c r="AT83" s="23"/>
      <c r="AU83" s="23"/>
      <c r="AV83" s="23"/>
      <c r="AW83" s="23"/>
      <c r="AX83" s="23"/>
      <c r="AZ83" s="640"/>
    </row>
    <row r="84" spans="1:52" x14ac:dyDescent="0.25">
      <c r="A84" s="1076">
        <v>75</v>
      </c>
      <c r="B84" s="1077" t="s">
        <v>65</v>
      </c>
      <c r="C84" s="1082" t="str">
        <f t="shared" si="7"/>
        <v>Ene 05</v>
      </c>
      <c r="D84" s="824" t="s">
        <v>753</v>
      </c>
      <c r="E84" s="861" t="str">
        <f>VLOOKUP(D84,Poeng!$B$10:$R$252,Poeng!E$1,FALSE)</f>
        <v xml:space="preserve">Indirect greenhouse gas emissions </v>
      </c>
      <c r="F84" s="122">
        <f>VLOOKUP(D84,Poeng!$B$10:$AB$252,Poeng!AB$1,FALSE)</f>
        <v>1</v>
      </c>
      <c r="G84" s="43"/>
      <c r="H84" s="123">
        <f>VLOOKUP(D84,Poeng!$B$10:$AE$252,Poeng!AE$1,FALSE)</f>
        <v>0</v>
      </c>
      <c r="I84" s="124" t="str">
        <f>VLOOKUP(D84,Poeng!$B$10:$BE$252,Poeng!BE$1,FALSE)</f>
        <v>N/A</v>
      </c>
      <c r="J84" s="80"/>
      <c r="K84" s="281"/>
      <c r="L84" s="796"/>
      <c r="M84" s="816"/>
      <c r="N84" s="83"/>
      <c r="O84" s="123">
        <f>VLOOKUP(D84,Poeng!$B$10:$BC$252,Poeng!AF$1,FALSE)</f>
        <v>0</v>
      </c>
      <c r="P84" s="123" t="str">
        <f>VLOOKUP(D84,Poeng!$B$10:$BH$252,Poeng!BH$1,FALSE)</f>
        <v>N/A</v>
      </c>
      <c r="Q84" s="744"/>
      <c r="R84" s="745"/>
      <c r="S84" s="738"/>
      <c r="T84" s="319"/>
      <c r="U84" s="83"/>
      <c r="V84" s="123">
        <f>VLOOKUP(D84,Poeng!$B$10:$BC$252,Poeng!AG$1,FALSE)</f>
        <v>0</v>
      </c>
      <c r="W84" s="123" t="str">
        <f>VLOOKUP(D84,Poeng!$B$10:$BK$252,Poeng!BK$1,FALSE)</f>
        <v>N/A</v>
      </c>
      <c r="X84" s="81"/>
      <c r="Y84" s="80"/>
      <c r="Z84" s="738"/>
      <c r="AA84" s="133"/>
      <c r="AB84" s="640"/>
      <c r="AC84" s="107">
        <f t="shared" si="12"/>
        <v>1</v>
      </c>
      <c r="AD84" s="3" t="e">
        <f>VLOOKUP(K84,'Assessment Details'!$O$45:$P$48,2,FALSE)</f>
        <v>#N/A</v>
      </c>
      <c r="AE84" s="3" t="e">
        <f>VLOOKUP(R84,'Assessment Details'!$O$45:$P$48,2,FALSE)</f>
        <v>#N/A</v>
      </c>
      <c r="AF84" s="3" t="e">
        <f>VLOOKUP(Y84,'Assessment Details'!$O$45:$P$48,2,FALSE)</f>
        <v>#N/A</v>
      </c>
      <c r="AI84" s="70"/>
      <c r="AJ84" s="671"/>
      <c r="AK84" s="648"/>
      <c r="AL84" s="648"/>
      <c r="AM84" s="648"/>
      <c r="AN84" s="70"/>
      <c r="AO84" s="70"/>
      <c r="AP84" s="70"/>
      <c r="AS84" s="23"/>
      <c r="AT84" s="23"/>
      <c r="AU84" s="23"/>
      <c r="AV84" s="23"/>
      <c r="AW84" s="23"/>
      <c r="AX84" s="23"/>
      <c r="AZ84" s="640"/>
    </row>
    <row r="85" spans="1:52" x14ac:dyDescent="0.25">
      <c r="A85" s="1076">
        <v>76</v>
      </c>
      <c r="B85" s="1077" t="s">
        <v>65</v>
      </c>
      <c r="C85" s="924" t="s">
        <v>139</v>
      </c>
      <c r="D85" s="824" t="s">
        <v>139</v>
      </c>
      <c r="E85" s="860" t="str">
        <f>VLOOKUP(D85,Poeng!$B$10:$R$252,Poeng!E$1,FALSE)</f>
        <v>Ene 06 Energy efficient transportation systems</v>
      </c>
      <c r="F85" s="865">
        <f>VLOOKUP(D85,Poeng!$B$10:$AB$252,Poeng!AB$1,FALSE)</f>
        <v>3</v>
      </c>
      <c r="G85" s="1001"/>
      <c r="H85" s="866" t="str">
        <f>VLOOKUP(D85,Poeng!$B$10:$AI$252,Poeng!AI$1,FALSE)&amp;" c. "&amp;ROUND(VLOOKUP(D85,Poeng!$B$10:$AE$252,Poeng!AE$1,FALSE)*100,1)&amp;" %"</f>
        <v>0 c. 0 %</v>
      </c>
      <c r="I85" s="924" t="str">
        <f>VLOOKUP(D85,Poeng!$B$10:$BE$252,Poeng!BE$1,FALSE)</f>
        <v>N/A</v>
      </c>
      <c r="J85" s="80"/>
      <c r="K85" s="281"/>
      <c r="L85" s="796"/>
      <c r="M85" s="816"/>
      <c r="N85" s="1001"/>
      <c r="O85" s="877" t="str">
        <f>VLOOKUP(D85,Poeng!$B$10:$BC$252,Poeng!AJ$1,FALSE)&amp;" c. "&amp;ROUND(VLOOKUP(D85,Poeng!$B$10:$BC$252,Poeng!AF$1,FALSE)*100,1)&amp;" %"</f>
        <v>0 c. 0 %</v>
      </c>
      <c r="P85" s="123" t="str">
        <f>VLOOKUP(D85,Poeng!$B$10:$BH$252,Poeng!BH$1,FALSE)</f>
        <v>N/A</v>
      </c>
      <c r="Q85" s="744"/>
      <c r="R85" s="745"/>
      <c r="S85" s="738"/>
      <c r="T85" s="319"/>
      <c r="U85" s="1001"/>
      <c r="V85" s="877" t="str">
        <f>VLOOKUP(D85,Poeng!$B$10:$BC$252,Poeng!AK$1,FALSE)&amp;" c. "&amp;ROUND(VLOOKUP(D85,Poeng!$B$10:$BC$252,Poeng!AG$1,FALSE)*100,1)&amp;" %"</f>
        <v>0 c. 0 %</v>
      </c>
      <c r="W85" s="123" t="str">
        <f>VLOOKUP(D85,Poeng!$B$10:$BK$252,Poeng!BK$1,FALSE)</f>
        <v>N/A</v>
      </c>
      <c r="X85" s="81"/>
      <c r="Y85" s="80"/>
      <c r="Z85" s="738"/>
      <c r="AA85" s="133"/>
      <c r="AB85" s="640" t="s">
        <v>13</v>
      </c>
      <c r="AC85" s="107">
        <f t="shared" si="12"/>
        <v>1</v>
      </c>
      <c r="AD85" s="3" t="e">
        <f>VLOOKUP(K85,'Assessment Details'!$O$45:$P$48,2,FALSE)</f>
        <v>#N/A</v>
      </c>
      <c r="AE85" s="3" t="e">
        <f>VLOOKUP(R85,'Assessment Details'!$O$45:$P$48,2,FALSE)</f>
        <v>#N/A</v>
      </c>
      <c r="AF85" s="3" t="e">
        <f>VLOOKUP(Y85,'Assessment Details'!$O$45:$P$48,2,FALSE)</f>
        <v>#N/A</v>
      </c>
      <c r="AI85" s="70"/>
      <c r="AJ85" s="671" t="s">
        <v>130</v>
      </c>
      <c r="AK85" s="648" t="s">
        <v>405</v>
      </c>
      <c r="AL85" s="648" t="s">
        <v>407</v>
      </c>
      <c r="AM85" s="70"/>
      <c r="AN85" s="70"/>
      <c r="AO85" s="70"/>
      <c r="AP85" s="70"/>
      <c r="AR85" s="1" t="s">
        <v>13</v>
      </c>
      <c r="AS85" s="23" t="str">
        <f t="shared" si="3"/>
        <v>N/A</v>
      </c>
      <c r="AT85" s="23" t="str">
        <f t="shared" si="1"/>
        <v>N/A</v>
      </c>
      <c r="AU85" s="23" t="str">
        <f t="shared" si="2"/>
        <v>N/A</v>
      </c>
      <c r="AV85" s="23"/>
      <c r="AW85" s="23"/>
      <c r="AX85" s="23"/>
      <c r="AZ85" s="640"/>
    </row>
    <row r="86" spans="1:52" x14ac:dyDescent="0.25">
      <c r="A86" s="1076">
        <v>77</v>
      </c>
      <c r="B86" s="1077" t="s">
        <v>65</v>
      </c>
      <c r="C86" s="1082" t="str">
        <f t="shared" si="7"/>
        <v>Ene 06</v>
      </c>
      <c r="D86" s="824" t="s">
        <v>754</v>
      </c>
      <c r="E86" s="861" t="str">
        <f>VLOOKUP(D86,Poeng!$B$10:$R$252,Poeng!E$1,FALSE)</f>
        <v>Transport needs and usage patterns</v>
      </c>
      <c r="F86" s="122">
        <f>VLOOKUP(D86,Poeng!$B$10:$AB$252,Poeng!AB$1,FALSE)</f>
        <v>1</v>
      </c>
      <c r="G86" s="43"/>
      <c r="H86" s="123">
        <f>VLOOKUP(D86,Poeng!$B$10:$AE$252,Poeng!AE$1,FALSE)</f>
        <v>0</v>
      </c>
      <c r="I86" s="124" t="str">
        <f>VLOOKUP(D86,Poeng!$B$10:$BE$252,Poeng!BE$1,FALSE)</f>
        <v>N/A</v>
      </c>
      <c r="J86" s="80"/>
      <c r="K86" s="281"/>
      <c r="L86" s="796"/>
      <c r="M86" s="816"/>
      <c r="N86" s="83"/>
      <c r="O86" s="123">
        <f>VLOOKUP(D86,Poeng!$B$10:$BC$252,Poeng!AF$1,FALSE)</f>
        <v>0</v>
      </c>
      <c r="P86" s="123" t="str">
        <f>VLOOKUP(D86,Poeng!$B$10:$BH$252,Poeng!BH$1,FALSE)</f>
        <v>N/A</v>
      </c>
      <c r="Q86" s="744"/>
      <c r="R86" s="745"/>
      <c r="S86" s="738"/>
      <c r="T86" s="319"/>
      <c r="U86" s="83"/>
      <c r="V86" s="123">
        <f>VLOOKUP(D86,Poeng!$B$10:$BC$252,Poeng!AG$1,FALSE)</f>
        <v>0</v>
      </c>
      <c r="W86" s="123" t="str">
        <f>VLOOKUP(D86,Poeng!$B$10:$BK$252,Poeng!BK$1,FALSE)</f>
        <v>N/A</v>
      </c>
      <c r="X86" s="81"/>
      <c r="Y86" s="80"/>
      <c r="Z86" s="738"/>
      <c r="AA86" s="133"/>
      <c r="AB86" s="640"/>
      <c r="AC86" s="107">
        <f t="shared" si="12"/>
        <v>1</v>
      </c>
      <c r="AD86" s="3" t="e">
        <f>VLOOKUP(K86,'Assessment Details'!$O$45:$P$48,2,FALSE)</f>
        <v>#N/A</v>
      </c>
      <c r="AE86" s="3" t="e">
        <f>VLOOKUP(R86,'Assessment Details'!$O$45:$P$48,2,FALSE)</f>
        <v>#N/A</v>
      </c>
      <c r="AF86" s="3" t="e">
        <f>VLOOKUP(Y86,'Assessment Details'!$O$45:$P$48,2,FALSE)</f>
        <v>#N/A</v>
      </c>
      <c r="AI86" s="70"/>
      <c r="AJ86" s="671"/>
      <c r="AK86" s="648"/>
      <c r="AL86" s="648"/>
      <c r="AM86" s="70"/>
      <c r="AN86" s="70"/>
      <c r="AO86" s="70"/>
      <c r="AP86" s="70"/>
      <c r="AS86" s="23"/>
      <c r="AT86" s="23"/>
      <c r="AU86" s="23"/>
      <c r="AV86" s="23"/>
      <c r="AW86" s="23"/>
      <c r="AX86" s="23"/>
      <c r="AZ86" s="640"/>
    </row>
    <row r="87" spans="1:52" x14ac:dyDescent="0.25">
      <c r="A87" s="1076">
        <v>78</v>
      </c>
      <c r="B87" s="1077" t="s">
        <v>65</v>
      </c>
      <c r="C87" s="1082" t="str">
        <f>C85</f>
        <v>Ene 06</v>
      </c>
      <c r="D87" s="824" t="s">
        <v>755</v>
      </c>
      <c r="E87" s="861" t="str">
        <f>VLOOKUP(D87,Poeng!$B$10:$R$252,Poeng!E$1,FALSE)</f>
        <v>Energy efficient features: lifts</v>
      </c>
      <c r="F87" s="122">
        <f>VLOOKUP(D87,Poeng!$B$10:$AB$252,Poeng!AB$1,FALSE)</f>
        <v>1</v>
      </c>
      <c r="G87" s="43"/>
      <c r="H87" s="123">
        <f>VLOOKUP(D87,Poeng!$B$10:$AE$252,Poeng!AE$1,FALSE)</f>
        <v>0</v>
      </c>
      <c r="I87" s="124" t="str">
        <f>VLOOKUP(D87,Poeng!$B$10:$BE$252,Poeng!BE$1,FALSE)</f>
        <v>N/A</v>
      </c>
      <c r="J87" s="80"/>
      <c r="K87" s="281"/>
      <c r="L87" s="796"/>
      <c r="M87" s="816"/>
      <c r="N87" s="83"/>
      <c r="O87" s="123">
        <f>VLOOKUP(D87,Poeng!$B$10:$BC$252,Poeng!AF$1,FALSE)</f>
        <v>0</v>
      </c>
      <c r="P87" s="123" t="str">
        <f>VLOOKUP(D87,Poeng!$B$10:$BH$252,Poeng!BH$1,FALSE)</f>
        <v>N/A</v>
      </c>
      <c r="Q87" s="744"/>
      <c r="R87" s="745"/>
      <c r="S87" s="738"/>
      <c r="T87" s="319"/>
      <c r="U87" s="83"/>
      <c r="V87" s="123">
        <f>VLOOKUP(D87,Poeng!$B$10:$BC$252,Poeng!AG$1,FALSE)</f>
        <v>0</v>
      </c>
      <c r="W87" s="123" t="str">
        <f>VLOOKUP(D87,Poeng!$B$10:$BK$252,Poeng!BK$1,FALSE)</f>
        <v>N/A</v>
      </c>
      <c r="X87" s="81"/>
      <c r="Y87" s="80"/>
      <c r="Z87" s="738"/>
      <c r="AA87" s="133"/>
      <c r="AB87" s="640"/>
      <c r="AC87" s="107">
        <f t="shared" si="12"/>
        <v>1</v>
      </c>
      <c r="AD87" s="3" t="e">
        <f>VLOOKUP(K87,'Assessment Details'!$O$45:$P$48,2,FALSE)</f>
        <v>#N/A</v>
      </c>
      <c r="AE87" s="3" t="e">
        <f>VLOOKUP(R87,'Assessment Details'!$O$45:$P$48,2,FALSE)</f>
        <v>#N/A</v>
      </c>
      <c r="AF87" s="3" t="e">
        <f>VLOOKUP(Y87,'Assessment Details'!$O$45:$P$48,2,FALSE)</f>
        <v>#N/A</v>
      </c>
      <c r="AI87" s="70"/>
      <c r="AJ87" s="671"/>
      <c r="AK87" s="648"/>
      <c r="AL87" s="648"/>
      <c r="AM87" s="70"/>
      <c r="AN87" s="70"/>
      <c r="AO87" s="70"/>
      <c r="AP87" s="70"/>
      <c r="AS87" s="23"/>
      <c r="AT87" s="23"/>
      <c r="AU87" s="23"/>
      <c r="AV87" s="23"/>
      <c r="AW87" s="23"/>
      <c r="AX87" s="23"/>
      <c r="AZ87" s="640"/>
    </row>
    <row r="88" spans="1:52" x14ac:dyDescent="0.25">
      <c r="A88" s="1076">
        <v>79</v>
      </c>
      <c r="B88" s="1077" t="s">
        <v>65</v>
      </c>
      <c r="C88" s="1082" t="str">
        <f>C86</f>
        <v>Ene 06</v>
      </c>
      <c r="D88" s="824" t="s">
        <v>917</v>
      </c>
      <c r="E88" s="861" t="str">
        <f>VLOOKUP(D88,Poeng!$B$10:$R$252,Poeng!E$1,FALSE)</f>
        <v>Energy efficient features: escalators or moving walks</v>
      </c>
      <c r="F88" s="122">
        <f>VLOOKUP(D88,Poeng!$B$10:$AB$252,Poeng!AB$1,FALSE)</f>
        <v>1</v>
      </c>
      <c r="G88" s="43"/>
      <c r="H88" s="123">
        <f>VLOOKUP(D88,Poeng!$B$10:$AE$252,Poeng!AE$1,FALSE)</f>
        <v>0</v>
      </c>
      <c r="I88" s="124" t="str">
        <f>VLOOKUP(D88,Poeng!$B$10:$BE$252,Poeng!BE$1,FALSE)</f>
        <v>N/A</v>
      </c>
      <c r="J88" s="80"/>
      <c r="K88" s="281"/>
      <c r="L88" s="796"/>
      <c r="M88" s="816"/>
      <c r="N88" s="83"/>
      <c r="O88" s="123">
        <f>VLOOKUP(D88,Poeng!$B$10:$BC$252,Poeng!AF$1,FALSE)</f>
        <v>0</v>
      </c>
      <c r="P88" s="123" t="str">
        <f>VLOOKUP(D88,Poeng!$B$10:$BH$252,Poeng!BH$1,FALSE)</f>
        <v>N/A</v>
      </c>
      <c r="Q88" s="744"/>
      <c r="R88" s="745"/>
      <c r="S88" s="738"/>
      <c r="T88" s="319"/>
      <c r="U88" s="83"/>
      <c r="V88" s="123">
        <f>VLOOKUP(D88,Poeng!$B$10:$BC$252,Poeng!AG$1,FALSE)</f>
        <v>0</v>
      </c>
      <c r="W88" s="123" t="str">
        <f>VLOOKUP(D88,Poeng!$B$10:$BK$252,Poeng!BK$1,FALSE)</f>
        <v>N/A</v>
      </c>
      <c r="X88" s="81"/>
      <c r="Y88" s="80"/>
      <c r="Z88" s="738"/>
      <c r="AA88" s="133"/>
      <c r="AB88" s="640"/>
      <c r="AC88" s="107">
        <f t="shared" si="12"/>
        <v>1</v>
      </c>
      <c r="AD88" s="3" t="e">
        <f>VLOOKUP(K88,'Assessment Details'!$O$45:$P$48,2,FALSE)</f>
        <v>#N/A</v>
      </c>
      <c r="AE88" s="3" t="e">
        <f>VLOOKUP(R88,'Assessment Details'!$O$45:$P$48,2,FALSE)</f>
        <v>#N/A</v>
      </c>
      <c r="AF88" s="3" t="e">
        <f>VLOOKUP(Y88,'Assessment Details'!$O$45:$P$48,2,FALSE)</f>
        <v>#N/A</v>
      </c>
      <c r="AI88" s="70"/>
      <c r="AJ88" s="671"/>
      <c r="AK88" s="648"/>
      <c r="AL88" s="648"/>
      <c r="AM88" s="70"/>
      <c r="AN88" s="70"/>
      <c r="AO88" s="70"/>
      <c r="AP88" s="70"/>
      <c r="AS88" s="23"/>
      <c r="AT88" s="23"/>
      <c r="AU88" s="23"/>
      <c r="AV88" s="23"/>
      <c r="AW88" s="23"/>
      <c r="AX88" s="23"/>
      <c r="AZ88" s="640"/>
    </row>
    <row r="89" spans="1:52" x14ac:dyDescent="0.25">
      <c r="A89" s="1076">
        <v>80</v>
      </c>
      <c r="B89" s="1077" t="s">
        <v>65</v>
      </c>
      <c r="C89" s="924" t="s">
        <v>140</v>
      </c>
      <c r="D89" s="824" t="s">
        <v>140</v>
      </c>
      <c r="E89" s="860" t="str">
        <f>VLOOKUP(D89,Poeng!$B$10:$R$252,Poeng!E$1,FALSE)</f>
        <v>Ene 07 Energy Efficient Laboratory Systems</v>
      </c>
      <c r="F89" s="865">
        <f>VLOOKUP(D89,Poeng!$B$10:$AB$252,Poeng!AB$1,FALSE)</f>
        <v>5</v>
      </c>
      <c r="G89" s="1001"/>
      <c r="H89" s="866" t="str">
        <f>VLOOKUP(D89,Poeng!$B$10:$AI$252,Poeng!AI$1,FALSE)&amp;" c. "&amp;ROUND(VLOOKUP(D89,Poeng!$B$10:$AE$252,Poeng!AE$1,FALSE)*100,1)&amp;" %"</f>
        <v>0 c. 0 %</v>
      </c>
      <c r="I89" s="924" t="str">
        <f>VLOOKUP(D89,Poeng!$B$10:$BE$252,Poeng!BE$1,FALSE)</f>
        <v>N/A</v>
      </c>
      <c r="J89" s="80"/>
      <c r="K89" s="281"/>
      <c r="L89" s="796"/>
      <c r="M89" s="816"/>
      <c r="N89" s="1001"/>
      <c r="O89" s="877" t="str">
        <f>VLOOKUP(D89,Poeng!$B$10:$BC$252,Poeng!AJ$1,FALSE)&amp;" c. "&amp;ROUND(VLOOKUP(D89,Poeng!$B$10:$BC$252,Poeng!AF$1,FALSE)*100,1)&amp;" %"</f>
        <v>0 c. 0 %</v>
      </c>
      <c r="P89" s="123" t="str">
        <f>VLOOKUP(D89,Poeng!$B$10:$BH$252,Poeng!BH$1,FALSE)</f>
        <v>N/A</v>
      </c>
      <c r="Q89" s="744"/>
      <c r="R89" s="745"/>
      <c r="S89" s="738"/>
      <c r="T89" s="319"/>
      <c r="U89" s="1001"/>
      <c r="V89" s="877" t="str">
        <f>VLOOKUP(D89,Poeng!$B$10:$BC$252,Poeng!AK$1,FALSE)&amp;" c. "&amp;ROUND(VLOOKUP(D89,Poeng!$B$10:$BC$252,Poeng!AG$1,FALSE)*100,1)&amp;" %"</f>
        <v>0 c. 0 %</v>
      </c>
      <c r="W89" s="123" t="str">
        <f>VLOOKUP(D89,Poeng!$B$10:$BK$252,Poeng!BK$1,FALSE)</f>
        <v>N/A</v>
      </c>
      <c r="X89" s="81"/>
      <c r="Y89" s="80"/>
      <c r="Z89" s="738"/>
      <c r="AA89" s="133"/>
      <c r="AB89" s="640" t="s">
        <v>14</v>
      </c>
      <c r="AC89" s="107">
        <f t="shared" si="12"/>
        <v>1</v>
      </c>
      <c r="AD89" s="3" t="e">
        <f>VLOOKUP(K89,'Assessment Details'!$O$45:$P$48,2,FALSE)</f>
        <v>#N/A</v>
      </c>
      <c r="AE89" s="3" t="e">
        <f>VLOOKUP(R89,'Assessment Details'!$O$45:$P$48,2,FALSE)</f>
        <v>#N/A</v>
      </c>
      <c r="AF89" s="3" t="e">
        <f>VLOOKUP(Y89,'Assessment Details'!$O$45:$P$48,2,FALSE)</f>
        <v>#N/A</v>
      </c>
      <c r="AI89" s="70"/>
      <c r="AJ89" s="671" t="s">
        <v>131</v>
      </c>
      <c r="AK89" s="70"/>
      <c r="AL89" s="70"/>
      <c r="AM89" s="70"/>
      <c r="AN89" s="70"/>
      <c r="AO89" s="70"/>
      <c r="AP89" s="70"/>
      <c r="AS89" s="23" t="str">
        <f t="shared" si="3"/>
        <v>N/A</v>
      </c>
      <c r="AT89" s="23" t="str">
        <f t="shared" si="1"/>
        <v>N/A</v>
      </c>
      <c r="AU89" s="23" t="str">
        <f t="shared" si="2"/>
        <v>N/A</v>
      </c>
      <c r="AV89" s="23"/>
      <c r="AW89" s="23"/>
      <c r="AX89" s="23"/>
      <c r="AZ89" s="640"/>
    </row>
    <row r="90" spans="1:52" x14ac:dyDescent="0.25">
      <c r="A90" s="1076">
        <v>81</v>
      </c>
      <c r="B90" s="1077" t="s">
        <v>65</v>
      </c>
      <c r="C90" s="1082" t="str">
        <f t="shared" si="7"/>
        <v>Ene 07</v>
      </c>
      <c r="D90" s="824" t="s">
        <v>756</v>
      </c>
      <c r="E90" s="861" t="str">
        <f>VLOOKUP(D90,Poeng!$B$10:$R$252,Poeng!E$1,FALSE)</f>
        <v xml:space="preserve">Design specification </v>
      </c>
      <c r="F90" s="122">
        <f>VLOOKUP(D90,Poeng!$B$10:$AB$252,Poeng!AB$1,FALSE)</f>
        <v>1</v>
      </c>
      <c r="G90" s="43"/>
      <c r="H90" s="123">
        <f>VLOOKUP(D90,Poeng!$B$10:$AE$252,Poeng!AE$1,FALSE)</f>
        <v>0</v>
      </c>
      <c r="I90" s="124" t="str">
        <f>VLOOKUP(D90,Poeng!$B$10:$BE$252,Poeng!BE$1,FALSE)</f>
        <v>Unclassified</v>
      </c>
      <c r="J90" s="80"/>
      <c r="K90" s="281"/>
      <c r="L90" s="796"/>
      <c r="M90" s="816"/>
      <c r="N90" s="83"/>
      <c r="O90" s="123">
        <f>VLOOKUP(D90,Poeng!$B$10:$BC$252,Poeng!AF$1,FALSE)</f>
        <v>0</v>
      </c>
      <c r="P90" s="123" t="str">
        <f>VLOOKUP(D90,Poeng!$B$10:$BH$252,Poeng!BH$1,FALSE)</f>
        <v>Unclassified</v>
      </c>
      <c r="Q90" s="744"/>
      <c r="R90" s="745"/>
      <c r="S90" s="738"/>
      <c r="T90" s="319"/>
      <c r="U90" s="83"/>
      <c r="V90" s="123">
        <f>VLOOKUP(D90,Poeng!$B$10:$BC$252,Poeng!AG$1,FALSE)</f>
        <v>0</v>
      </c>
      <c r="W90" s="123" t="str">
        <f>VLOOKUP(D90,Poeng!$B$10:$BK$252,Poeng!BK$1,FALSE)</f>
        <v>Unclassified</v>
      </c>
      <c r="X90" s="81"/>
      <c r="Y90" s="80"/>
      <c r="Z90" s="738"/>
      <c r="AA90" s="133"/>
      <c r="AB90" s="640"/>
      <c r="AC90" s="107">
        <f t="shared" si="12"/>
        <v>1</v>
      </c>
      <c r="AD90" s="3" t="e">
        <f>VLOOKUP(K90,'Assessment Details'!$O$45:$P$48,2,FALSE)</f>
        <v>#N/A</v>
      </c>
      <c r="AE90" s="3" t="e">
        <f>VLOOKUP(R90,'Assessment Details'!$O$45:$P$48,2,FALSE)</f>
        <v>#N/A</v>
      </c>
      <c r="AF90" s="3" t="e">
        <f>VLOOKUP(Y90,'Assessment Details'!$O$45:$P$48,2,FALSE)</f>
        <v>#N/A</v>
      </c>
      <c r="AI90" s="70"/>
      <c r="AJ90" s="671"/>
      <c r="AK90" s="70"/>
      <c r="AL90" s="70"/>
      <c r="AM90" s="70"/>
      <c r="AN90" s="70"/>
      <c r="AO90" s="70"/>
      <c r="AP90" s="70"/>
      <c r="AS90" s="23"/>
      <c r="AT90" s="23"/>
      <c r="AU90" s="23"/>
      <c r="AV90" s="23"/>
      <c r="AW90" s="23"/>
      <c r="AX90" s="23"/>
      <c r="AZ90" s="640"/>
    </row>
    <row r="91" spans="1:52" x14ac:dyDescent="0.25">
      <c r="A91" s="1076">
        <v>82</v>
      </c>
      <c r="B91" s="1077" t="s">
        <v>65</v>
      </c>
      <c r="C91" s="1082" t="str">
        <f t="shared" si="7"/>
        <v>Ene 07</v>
      </c>
      <c r="D91" s="824" t="s">
        <v>757</v>
      </c>
      <c r="E91" s="861" t="str">
        <f>VLOOKUP(D91,Poeng!$B$10:$R$252,Poeng!E$1,FALSE)</f>
        <v xml:space="preserve">Best practice energy efficient measures </v>
      </c>
      <c r="F91" s="122">
        <f>VLOOKUP(D91,Poeng!$B$10:$AB$252,Poeng!AB$1,FALSE)</f>
        <v>4</v>
      </c>
      <c r="G91" s="43"/>
      <c r="H91" s="123">
        <f>VLOOKUP(D91,Poeng!$B$10:$AE$252,Poeng!AE$1,FALSE)</f>
        <v>0</v>
      </c>
      <c r="I91" s="124" t="str">
        <f>VLOOKUP(D91,Poeng!$B$10:$BE$252,Poeng!BE$1,FALSE)</f>
        <v>N/A</v>
      </c>
      <c r="J91" s="80"/>
      <c r="K91" s="281"/>
      <c r="L91" s="796"/>
      <c r="M91" s="816"/>
      <c r="N91" s="83"/>
      <c r="O91" s="123">
        <f>VLOOKUP(D91,Poeng!$B$10:$BC$252,Poeng!AF$1,FALSE)</f>
        <v>0</v>
      </c>
      <c r="P91" s="123" t="str">
        <f>VLOOKUP(D91,Poeng!$B$10:$BH$252,Poeng!BH$1,FALSE)</f>
        <v>N/A</v>
      </c>
      <c r="Q91" s="744"/>
      <c r="R91" s="745"/>
      <c r="S91" s="738"/>
      <c r="T91" s="319"/>
      <c r="U91" s="83"/>
      <c r="V91" s="123">
        <f>VLOOKUP(D91,Poeng!$B$10:$BC$252,Poeng!AG$1,FALSE)</f>
        <v>0</v>
      </c>
      <c r="W91" s="123" t="str">
        <f>VLOOKUP(D91,Poeng!$B$10:$BK$252,Poeng!BK$1,FALSE)</f>
        <v>N/A</v>
      </c>
      <c r="X91" s="81"/>
      <c r="Y91" s="80"/>
      <c r="Z91" s="738"/>
      <c r="AA91" s="133"/>
      <c r="AB91" s="640"/>
      <c r="AC91" s="107">
        <f t="shared" si="12"/>
        <v>1</v>
      </c>
      <c r="AD91" s="3" t="e">
        <f>VLOOKUP(K91,'Assessment Details'!$O$45:$P$48,2,FALSE)</f>
        <v>#N/A</v>
      </c>
      <c r="AE91" s="3" t="e">
        <f>VLOOKUP(R91,'Assessment Details'!$O$45:$P$48,2,FALSE)</f>
        <v>#N/A</v>
      </c>
      <c r="AF91" s="3" t="e">
        <f>VLOOKUP(Y91,'Assessment Details'!$O$45:$P$48,2,FALSE)</f>
        <v>#N/A</v>
      </c>
      <c r="AI91" s="70"/>
      <c r="AJ91" s="671"/>
      <c r="AK91" s="70"/>
      <c r="AL91" s="70"/>
      <c r="AM91" s="70"/>
      <c r="AN91" s="70"/>
      <c r="AO91" s="70"/>
      <c r="AP91" s="70"/>
      <c r="AS91" s="23"/>
      <c r="AT91" s="23"/>
      <c r="AU91" s="23"/>
      <c r="AV91" s="23"/>
      <c r="AW91" s="23"/>
      <c r="AX91" s="23"/>
      <c r="AZ91" s="640"/>
    </row>
    <row r="92" spans="1:52" x14ac:dyDescent="0.25">
      <c r="A92" s="1076">
        <v>83</v>
      </c>
      <c r="B92" s="1077" t="s">
        <v>65</v>
      </c>
      <c r="C92" s="924" t="s">
        <v>141</v>
      </c>
      <c r="D92" s="824" t="s">
        <v>141</v>
      </c>
      <c r="E92" s="860" t="str">
        <f>VLOOKUP(D92,Poeng!$B$10:$R$252,Poeng!E$1,FALSE)</f>
        <v>Ene 08 Energy efficient equipment</v>
      </c>
      <c r="F92" s="865">
        <f>VLOOKUP(D92,Poeng!$B$10:$AB$252,Poeng!AB$1,FALSE)</f>
        <v>2</v>
      </c>
      <c r="G92" s="1001"/>
      <c r="H92" s="866" t="str">
        <f>VLOOKUP(D92,Poeng!$B$10:$AI$252,Poeng!AI$1,FALSE)&amp;" c. "&amp;ROUND(VLOOKUP(D92,Poeng!$B$10:$AE$252,Poeng!AE$1,FALSE)*100,1)&amp;" %"</f>
        <v>0 c. 0 %</v>
      </c>
      <c r="I92" s="924" t="str">
        <f>VLOOKUP(D92,Poeng!$B$10:$BE$252,Poeng!BE$1,FALSE)</f>
        <v>N/A</v>
      </c>
      <c r="J92" s="80"/>
      <c r="K92" s="281"/>
      <c r="L92" s="796"/>
      <c r="M92" s="816"/>
      <c r="N92" s="1001"/>
      <c r="O92" s="877" t="str">
        <f>VLOOKUP(D92,Poeng!$B$10:$BC$252,Poeng!AJ$1,FALSE)&amp;" c. "&amp;ROUND(VLOOKUP(D92,Poeng!$B$10:$BC$252,Poeng!AF$1,FALSE)*100,1)&amp;" %"</f>
        <v>0 c. 0 %</v>
      </c>
      <c r="P92" s="123" t="str">
        <f>VLOOKUP(D92,Poeng!$B$10:$BH$252,Poeng!BH$1,FALSE)</f>
        <v>N/A</v>
      </c>
      <c r="Q92" s="744"/>
      <c r="R92" s="745"/>
      <c r="S92" s="738"/>
      <c r="T92" s="319"/>
      <c r="U92" s="1001"/>
      <c r="V92" s="877" t="str">
        <f>VLOOKUP(D92,Poeng!$B$10:$BC$252,Poeng!AK$1,FALSE)&amp;" c. "&amp;ROUND(VLOOKUP(D92,Poeng!$B$10:$BC$252,Poeng!AG$1,FALSE)*100,1)&amp;" %"</f>
        <v>0 c. 0 %</v>
      </c>
      <c r="W92" s="123" t="str">
        <f>VLOOKUP(D92,Poeng!$B$10:$BK$252,Poeng!BK$1,FALSE)</f>
        <v>N/A</v>
      </c>
      <c r="X92" s="81"/>
      <c r="Y92" s="80"/>
      <c r="Z92" s="738"/>
      <c r="AA92" s="133"/>
      <c r="AB92" s="640" t="s">
        <v>13</v>
      </c>
      <c r="AC92" s="107">
        <f t="shared" si="12"/>
        <v>1</v>
      </c>
      <c r="AD92" s="3" t="e">
        <f>VLOOKUP(K92,'Assessment Details'!$O$45:$P$48,2,FALSE)</f>
        <v>#N/A</v>
      </c>
      <c r="AE92" s="3" t="e">
        <f>VLOOKUP(R92,'Assessment Details'!$O$45:$P$48,2,FALSE)</f>
        <v>#N/A</v>
      </c>
      <c r="AF92" s="3" t="e">
        <f>VLOOKUP(Y92,'Assessment Details'!$O$45:$P$48,2,FALSE)</f>
        <v>#N/A</v>
      </c>
      <c r="AI92" s="70" t="str">
        <f>ais_ja</f>
        <v>Ja</v>
      </c>
      <c r="AJ92" s="671" t="s">
        <v>132</v>
      </c>
      <c r="AK92" s="648" t="s">
        <v>405</v>
      </c>
      <c r="AL92" s="648" t="s">
        <v>409</v>
      </c>
      <c r="AM92" s="648" t="s">
        <v>407</v>
      </c>
      <c r="AN92" s="70"/>
      <c r="AO92" s="70"/>
      <c r="AP92" s="70"/>
      <c r="AR92" s="1" t="s">
        <v>13</v>
      </c>
      <c r="AS92" s="23" t="str">
        <f t="shared" si="3"/>
        <v>N/A</v>
      </c>
      <c r="AT92" s="23" t="str">
        <f t="shared" si="1"/>
        <v>N/A</v>
      </c>
      <c r="AU92" s="23" t="str">
        <f t="shared" si="2"/>
        <v>N/A</v>
      </c>
      <c r="AV92" s="23"/>
      <c r="AW92" s="23"/>
      <c r="AX92" s="23"/>
      <c r="AZ92" s="640"/>
    </row>
    <row r="93" spans="1:52" x14ac:dyDescent="0.25">
      <c r="A93" s="1076">
        <v>84</v>
      </c>
      <c r="B93" s="1077" t="s">
        <v>65</v>
      </c>
      <c r="C93" s="1087" t="str">
        <f t="shared" si="7"/>
        <v>Ene 08</v>
      </c>
      <c r="D93" s="824" t="s">
        <v>758</v>
      </c>
      <c r="E93" s="1071" t="str">
        <f>VLOOKUP(D93,Poeng!$B$10:$R$252,Poeng!E$1,FALSE)</f>
        <v xml:space="preserve">Reduction of the building's significant unregulated energy consumption </v>
      </c>
      <c r="F93" s="122">
        <f>VLOOKUP(D93,Poeng!$B$10:$AB$252,Poeng!AB$1,FALSE)</f>
        <v>2</v>
      </c>
      <c r="G93" s="43"/>
      <c r="H93" s="123">
        <f>VLOOKUP(D93,Poeng!$B$10:$AE$252,Poeng!AE$1,FALSE)</f>
        <v>0</v>
      </c>
      <c r="I93" s="124" t="str">
        <f>VLOOKUP(D93,Poeng!$B$10:$BE$252,Poeng!BE$1,FALSE)</f>
        <v>N/A</v>
      </c>
      <c r="J93" s="80"/>
      <c r="K93" s="281"/>
      <c r="L93" s="796"/>
      <c r="M93" s="816"/>
      <c r="N93" s="83"/>
      <c r="O93" s="123">
        <f>VLOOKUP(D93,Poeng!$B$10:$BC$252,Poeng!AF$1,FALSE)</f>
        <v>0</v>
      </c>
      <c r="P93" s="123" t="str">
        <f>VLOOKUP(D93,Poeng!$B$10:$BH$252,Poeng!BH$1,FALSE)</f>
        <v>N/A</v>
      </c>
      <c r="Q93" s="744"/>
      <c r="R93" s="745"/>
      <c r="S93" s="738"/>
      <c r="T93" s="319"/>
      <c r="U93" s="83"/>
      <c r="V93" s="123">
        <f>VLOOKUP(D93,Poeng!$B$10:$BC$252,Poeng!AG$1,FALSE)</f>
        <v>0</v>
      </c>
      <c r="W93" s="123" t="str">
        <f>VLOOKUP(D93,Poeng!$B$10:$BK$252,Poeng!BK$1,FALSE)</f>
        <v>N/A</v>
      </c>
      <c r="X93" s="81"/>
      <c r="Y93" s="80"/>
      <c r="Z93" s="738"/>
      <c r="AA93" s="133"/>
      <c r="AB93" s="714"/>
      <c r="AC93" s="107">
        <f t="shared" si="12"/>
        <v>1</v>
      </c>
      <c r="AD93" s="3" t="e">
        <f>VLOOKUP(K93,'Assessment Details'!$O$45:$P$48,2,FALSE)</f>
        <v>#N/A</v>
      </c>
      <c r="AE93" s="3" t="e">
        <f>VLOOKUP(R93,'Assessment Details'!$O$45:$P$48,2,FALSE)</f>
        <v>#N/A</v>
      </c>
      <c r="AF93" s="3" t="e">
        <f>VLOOKUP(Y93,'Assessment Details'!$O$45:$P$48,2,FALSE)</f>
        <v>#N/A</v>
      </c>
      <c r="AI93" s="70"/>
      <c r="AJ93" s="671"/>
      <c r="AK93" s="648"/>
      <c r="AL93" s="648"/>
      <c r="AM93" s="648"/>
      <c r="AN93" s="70"/>
      <c r="AO93" s="70"/>
      <c r="AP93" s="70"/>
      <c r="AS93" s="23"/>
      <c r="AT93" s="23"/>
      <c r="AU93" s="23"/>
      <c r="AV93" s="23"/>
      <c r="AW93" s="23"/>
      <c r="AX93" s="23"/>
      <c r="AZ93" s="714"/>
    </row>
    <row r="94" spans="1:52" ht="15.75" thickBot="1" x14ac:dyDescent="0.3">
      <c r="A94" s="1076">
        <v>85</v>
      </c>
      <c r="B94" s="1077" t="s">
        <v>65</v>
      </c>
      <c r="C94" s="1083"/>
      <c r="D94" s="824" t="s">
        <v>883</v>
      </c>
      <c r="E94" s="320" t="s">
        <v>104</v>
      </c>
      <c r="F94" s="125">
        <f>Ene_Credits</f>
        <v>27</v>
      </c>
      <c r="G94" s="131"/>
      <c r="H94" s="126">
        <f>Ene_cont_tot</f>
        <v>0</v>
      </c>
      <c r="I94" s="867" t="str">
        <f>"Credits achieved: "&amp;Ene_tot_user</f>
        <v>Credits achieved: 0</v>
      </c>
      <c r="J94" s="134"/>
      <c r="K94" s="282"/>
      <c r="L94" s="746"/>
      <c r="M94" s="816"/>
      <c r="N94" s="383"/>
      <c r="O94" s="126">
        <f>VLOOKUP(D94,Poeng!$B$10:$BC$252,Poeng!AF$1,FALSE)</f>
        <v>0</v>
      </c>
      <c r="P94" s="867" t="str">
        <f>"Credits achieved: "&amp;Ene_d_user</f>
        <v>Credits achieved: 0</v>
      </c>
      <c r="Q94" s="747"/>
      <c r="R94" s="748"/>
      <c r="S94" s="746"/>
      <c r="T94" s="319"/>
      <c r="U94" s="383"/>
      <c r="V94" s="126">
        <f>VLOOKUP(D94,Poeng!$B$10:$BC$252,Poeng!AG$1,FALSE)</f>
        <v>0</v>
      </c>
      <c r="W94" s="867" t="str">
        <f>"Credits achieved: "&amp;Ene_c_user</f>
        <v>Credits achieved: 0</v>
      </c>
      <c r="X94" s="382"/>
      <c r="Y94" s="136"/>
      <c r="Z94" s="746"/>
      <c r="AA94" s="133"/>
      <c r="AB94" s="641"/>
      <c r="AC94" s="107">
        <f t="shared" si="12"/>
        <v>1</v>
      </c>
      <c r="AD94" s="276">
        <v>0</v>
      </c>
      <c r="AE94" s="276">
        <v>0</v>
      </c>
      <c r="AF94" s="276">
        <v>0</v>
      </c>
      <c r="AI94" s="70"/>
      <c r="AJ94" s="671" t="s">
        <v>104</v>
      </c>
      <c r="AK94" s="70"/>
      <c r="AL94" s="70"/>
      <c r="AM94" s="70"/>
      <c r="AN94" s="70"/>
      <c r="AO94" s="70"/>
      <c r="AP94" s="70"/>
      <c r="AS94" s="23" t="str">
        <f t="shared" si="3"/>
        <v>N/A</v>
      </c>
      <c r="AT94" s="23" t="str">
        <f t="shared" si="1"/>
        <v>N/A</v>
      </c>
      <c r="AU94" s="23" t="str">
        <f t="shared" si="2"/>
        <v>N/A</v>
      </c>
      <c r="AV94" s="23"/>
      <c r="AW94" s="23"/>
      <c r="AX94" s="23"/>
      <c r="AZ94" s="641"/>
    </row>
    <row r="95" spans="1:52" x14ac:dyDescent="0.25">
      <c r="A95" s="1076">
        <v>86</v>
      </c>
      <c r="B95" s="1077" t="s">
        <v>65</v>
      </c>
      <c r="C95" s="322"/>
      <c r="D95" s="824"/>
      <c r="E95" s="321"/>
      <c r="F95" s="322"/>
      <c r="G95" s="323"/>
      <c r="H95" s="322"/>
      <c r="I95" s="322"/>
      <c r="J95" s="324"/>
      <c r="K95" s="323"/>
      <c r="L95" s="749"/>
      <c r="M95" s="815"/>
      <c r="N95" s="325"/>
      <c r="O95" s="325"/>
      <c r="P95" s="749"/>
      <c r="Q95" s="749"/>
      <c r="R95" s="750"/>
      <c r="S95" s="1094"/>
      <c r="T95" s="326"/>
      <c r="U95" s="325"/>
      <c r="V95" s="325"/>
      <c r="W95" s="749"/>
      <c r="X95" s="324"/>
      <c r="Y95" s="325"/>
      <c r="Z95" s="1094"/>
      <c r="AA95" s="699"/>
      <c r="AB95" s="324"/>
      <c r="AC95" s="107">
        <f t="shared" si="12"/>
        <v>1</v>
      </c>
      <c r="AD95" s="278">
        <v>0</v>
      </c>
      <c r="AE95" s="278">
        <v>0</v>
      </c>
      <c r="AF95" s="278">
        <v>0</v>
      </c>
      <c r="AI95" s="70"/>
      <c r="AJ95" s="671"/>
      <c r="AK95" s="70"/>
      <c r="AL95" s="70"/>
      <c r="AM95" s="70"/>
      <c r="AN95" s="70"/>
      <c r="AO95" s="70"/>
      <c r="AP95" s="70"/>
      <c r="AS95" s="23" t="str">
        <f t="shared" ref="AS95:AS163" si="13">IF($AJ$4=ais_nei,AIS_NA,IF(AK95="",AIS_NA,AK95))</f>
        <v>N/A</v>
      </c>
      <c r="AT95" s="23" t="str">
        <f t="shared" ref="AT95:AT163" si="14">IF($AJ$4=ais_nei,AIS_NA,IF(AL95="",AIS_NA,AL95))</f>
        <v>N/A</v>
      </c>
      <c r="AU95" s="23" t="str">
        <f t="shared" ref="AU95:AV163" si="15">IF($AJ$4=ais_nei,AIS_NA,IF(AM95="",AIS_NA,AM95))</f>
        <v>N/A</v>
      </c>
      <c r="AV95" s="23"/>
      <c r="AW95" s="23"/>
      <c r="AX95" s="23"/>
      <c r="AZ95" s="324"/>
    </row>
    <row r="96" spans="1:52" ht="18.75" x14ac:dyDescent="0.25">
      <c r="A96" s="1076">
        <v>87</v>
      </c>
      <c r="B96" s="1077" t="s">
        <v>66</v>
      </c>
      <c r="C96" s="1084"/>
      <c r="D96" s="824"/>
      <c r="E96" s="327" t="s">
        <v>52</v>
      </c>
      <c r="F96" s="315"/>
      <c r="G96" s="316"/>
      <c r="H96" s="336"/>
      <c r="I96" s="315"/>
      <c r="J96" s="328"/>
      <c r="K96" s="329"/>
      <c r="L96" s="752"/>
      <c r="M96" s="816"/>
      <c r="N96" s="339"/>
      <c r="O96" s="332"/>
      <c r="P96" s="742"/>
      <c r="Q96" s="753"/>
      <c r="R96" s="754"/>
      <c r="S96" s="755"/>
      <c r="T96" s="319"/>
      <c r="U96" s="339"/>
      <c r="V96" s="338"/>
      <c r="W96" s="742"/>
      <c r="X96" s="328"/>
      <c r="Y96" s="338"/>
      <c r="Z96" s="752"/>
      <c r="AA96" s="133"/>
      <c r="AB96" s="337"/>
      <c r="AC96" s="107">
        <f t="shared" si="12"/>
        <v>1</v>
      </c>
      <c r="AD96" s="275">
        <v>0</v>
      </c>
      <c r="AE96" s="275">
        <v>0</v>
      </c>
      <c r="AF96" s="275">
        <v>0</v>
      </c>
      <c r="AI96" s="70"/>
      <c r="AJ96" s="671" t="s">
        <v>52</v>
      </c>
      <c r="AK96" s="70"/>
      <c r="AL96" s="70"/>
      <c r="AM96" s="70"/>
      <c r="AN96" s="70"/>
      <c r="AO96" s="70"/>
      <c r="AP96" s="70"/>
      <c r="AS96" s="23" t="str">
        <f t="shared" si="13"/>
        <v>N/A</v>
      </c>
      <c r="AT96" s="23" t="str">
        <f t="shared" si="14"/>
        <v>N/A</v>
      </c>
      <c r="AU96" s="23" t="str">
        <f t="shared" si="15"/>
        <v>N/A</v>
      </c>
      <c r="AV96" s="23"/>
      <c r="AW96" s="23"/>
      <c r="AX96" s="23"/>
      <c r="AZ96" s="337"/>
    </row>
    <row r="97" spans="1:52" x14ac:dyDescent="0.25">
      <c r="A97" s="1076">
        <v>88</v>
      </c>
      <c r="B97" s="1077" t="s">
        <v>66</v>
      </c>
      <c r="C97" s="924" t="s">
        <v>146</v>
      </c>
      <c r="D97" s="824" t="s">
        <v>146</v>
      </c>
      <c r="E97" s="860" t="str">
        <f>VLOOKUP(D97,Poeng!$B$10:$R$252,Poeng!E$1,FALSE)</f>
        <v>Tra 01 Transport assessment and travel plan</v>
      </c>
      <c r="F97" s="865">
        <f>VLOOKUP(D97,Poeng!$B$10:$AB$252,Poeng!AB$1,FALSE)</f>
        <v>3</v>
      </c>
      <c r="G97" s="1000"/>
      <c r="H97" s="866" t="str">
        <f>VLOOKUP(D97,Poeng!$B$10:$AI$252,Poeng!AI$1,FALSE)&amp;" c. "&amp;ROUND(VLOOKUP(D97,Poeng!$B$10:$AE$252,Poeng!AE$1,FALSE)*100,1)&amp;" %"</f>
        <v>0 c. 0 %</v>
      </c>
      <c r="I97" s="923" t="str">
        <f>VLOOKUP(D97,Poeng!$B$10:$BE$252,Poeng!BE$1,FALSE)</f>
        <v>N/A</v>
      </c>
      <c r="J97" s="874"/>
      <c r="K97" s="875"/>
      <c r="L97" s="876"/>
      <c r="M97" s="815"/>
      <c r="N97" s="1001"/>
      <c r="O97" s="1093" t="str">
        <f>VLOOKUP(D97,Poeng!$B$10:$BC$252,Poeng!AJ$1,FALSE)&amp;" c. "&amp;ROUND(VLOOKUP(D97,Poeng!$B$10:$BC$252,Poeng!AF$1,FALSE)*100,1)&amp;" %"</f>
        <v>0 c. 0 %</v>
      </c>
      <c r="P97" s="123" t="str">
        <f>VLOOKUP(D97,Poeng!$B$10:$BH$252,Poeng!BH$1,FALSE)</f>
        <v>N/A</v>
      </c>
      <c r="Q97" s="744"/>
      <c r="R97" s="745"/>
      <c r="S97" s="738"/>
      <c r="T97" s="319"/>
      <c r="U97" s="1001"/>
      <c r="V97" s="877" t="str">
        <f>VLOOKUP(D97,Poeng!$B$10:$BC$252,Poeng!AK$1,FALSE)&amp;" c. "&amp;ROUND(VLOOKUP(D97,Poeng!$B$10:$BC$252,Poeng!AG$1,FALSE)*100,1)&amp;" %"</f>
        <v>0 c. 0 %</v>
      </c>
      <c r="W97" s="123" t="str">
        <f>VLOOKUP(D97,Poeng!$B$10:$BK$252,Poeng!BK$1,FALSE)</f>
        <v>N/A</v>
      </c>
      <c r="X97" s="81"/>
      <c r="Y97" s="80"/>
      <c r="Z97" s="738"/>
      <c r="AA97" s="133"/>
      <c r="AB97" s="640" t="s">
        <v>14</v>
      </c>
      <c r="AC97" s="107">
        <f t="shared" si="12"/>
        <v>1</v>
      </c>
      <c r="AD97" s="3" t="e">
        <f>VLOOKUP(K97,'Assessment Details'!$O$45:$P$48,2,FALSE)</f>
        <v>#N/A</v>
      </c>
      <c r="AE97" s="3" t="e">
        <f>VLOOKUP(R97,'Assessment Details'!$O$45:$P$48,2,FALSE)</f>
        <v>#N/A</v>
      </c>
      <c r="AF97" s="3" t="e">
        <f>VLOOKUP(Y97,'Assessment Details'!$O$45:$P$48,2,FALSE)</f>
        <v>#N/A</v>
      </c>
      <c r="AI97" s="70"/>
      <c r="AJ97" s="671" t="s">
        <v>144</v>
      </c>
      <c r="AK97" s="70"/>
      <c r="AL97" s="70"/>
      <c r="AM97" s="70"/>
      <c r="AN97" s="70"/>
      <c r="AO97" s="70"/>
      <c r="AP97" s="70"/>
      <c r="AS97" s="23" t="str">
        <f t="shared" si="13"/>
        <v>N/A</v>
      </c>
      <c r="AT97" s="23" t="str">
        <f t="shared" si="14"/>
        <v>N/A</v>
      </c>
      <c r="AU97" s="23" t="str">
        <f t="shared" si="15"/>
        <v>N/A</v>
      </c>
      <c r="AV97" s="23"/>
      <c r="AW97" s="23"/>
      <c r="AX97" s="23"/>
      <c r="AZ97" s="640"/>
    </row>
    <row r="98" spans="1:52" x14ac:dyDescent="0.25">
      <c r="A98" s="1076">
        <v>89</v>
      </c>
      <c r="B98" s="1077" t="s">
        <v>66</v>
      </c>
      <c r="C98" s="1082" t="str">
        <f t="shared" si="7"/>
        <v>Tra 01</v>
      </c>
      <c r="D98" s="19" t="s">
        <v>759</v>
      </c>
      <c r="E98" s="861" t="str">
        <f>VLOOKUP(D98,Poeng!$B$10:$R$252,Poeng!E$1,FALSE)</f>
        <v xml:space="preserve">Transport assessment and travel plan </v>
      </c>
      <c r="F98" s="122">
        <f>VLOOKUP(D98,Poeng!$B$10:$AB$252,Poeng!AB$1,FALSE)</f>
        <v>2</v>
      </c>
      <c r="G98" s="43"/>
      <c r="H98" s="123">
        <f>VLOOKUP(D98,Poeng!$B$10:$AE$252,Poeng!AE$1,FALSE)</f>
        <v>0</v>
      </c>
      <c r="I98" s="124" t="str">
        <f>VLOOKUP(D98,Poeng!$B$10:$BE$252,Poeng!BE$1,FALSE)</f>
        <v>N/A</v>
      </c>
      <c r="J98" s="80"/>
      <c r="K98" s="281"/>
      <c r="L98" s="796"/>
      <c r="M98" s="816"/>
      <c r="N98" s="83"/>
      <c r="O98" s="123">
        <f>VLOOKUP(D98,Poeng!$B$10:$BC$252,Poeng!AF$1,FALSE)</f>
        <v>0</v>
      </c>
      <c r="P98" s="123" t="str">
        <f>VLOOKUP(D98,Poeng!$B$10:$BH$252,Poeng!BH$1,FALSE)</f>
        <v>N/A</v>
      </c>
      <c r="Q98" s="744"/>
      <c r="R98" s="745"/>
      <c r="S98" s="738"/>
      <c r="T98" s="319"/>
      <c r="U98" s="83"/>
      <c r="V98" s="123">
        <f>VLOOKUP(D98,Poeng!$B$10:$BC$252,Poeng!AG$1,FALSE)</f>
        <v>0</v>
      </c>
      <c r="W98" s="123" t="str">
        <f>VLOOKUP(D98,Poeng!$B$10:$BK$252,Poeng!BK$1,FALSE)</f>
        <v>N/A</v>
      </c>
      <c r="X98" s="81"/>
      <c r="Y98" s="80"/>
      <c r="Z98" s="738"/>
      <c r="AC98" s="107">
        <f t="shared" si="12"/>
        <v>1</v>
      </c>
      <c r="AD98" s="3" t="e">
        <f>VLOOKUP(K98,'Assessment Details'!$O$45:$P$48,2,FALSE)</f>
        <v>#N/A</v>
      </c>
      <c r="AE98" s="3" t="e">
        <f>VLOOKUP(R98,'Assessment Details'!$O$45:$P$48,2,FALSE)</f>
        <v>#N/A</v>
      </c>
      <c r="AF98" s="3" t="e">
        <f>VLOOKUP(Y98,'Assessment Details'!$O$45:$P$48,2,FALSE)</f>
        <v>#N/A</v>
      </c>
    </row>
    <row r="99" spans="1:52" x14ac:dyDescent="0.25">
      <c r="A99" s="1076">
        <v>90</v>
      </c>
      <c r="B99" s="1077" t="s">
        <v>66</v>
      </c>
      <c r="C99" s="1082" t="str">
        <f t="shared" si="7"/>
        <v>Tra 01</v>
      </c>
      <c r="D99" s="19" t="s">
        <v>760</v>
      </c>
      <c r="E99" s="861" t="str">
        <f>VLOOKUP(D99,Poeng!$B$10:$R$252,Poeng!E$1,FALSE)</f>
        <v xml:space="preserve">Travel plan emissions evaluation </v>
      </c>
      <c r="F99" s="122">
        <f>VLOOKUP(D99,Poeng!$B$10:$AB$252,Poeng!AB$1,FALSE)</f>
        <v>1</v>
      </c>
      <c r="G99" s="43"/>
      <c r="H99" s="123">
        <f>VLOOKUP(D99,Poeng!$B$10:$AE$252,Poeng!AE$1,FALSE)</f>
        <v>0</v>
      </c>
      <c r="I99" s="124" t="str">
        <f>VLOOKUP(D99,Poeng!$B$10:$BE$252,Poeng!BE$1,FALSE)</f>
        <v>Very Good</v>
      </c>
      <c r="J99" s="80"/>
      <c r="K99" s="281"/>
      <c r="L99" s="796"/>
      <c r="M99" s="816"/>
      <c r="N99" s="83"/>
      <c r="O99" s="123">
        <f>VLOOKUP(D99,Poeng!$B$10:$BC$252,Poeng!AF$1,FALSE)</f>
        <v>0</v>
      </c>
      <c r="P99" s="123" t="str">
        <f>VLOOKUP(D99,Poeng!$B$10:$BH$252,Poeng!BH$1,FALSE)</f>
        <v>Very Good</v>
      </c>
      <c r="Q99" s="744"/>
      <c r="R99" s="745"/>
      <c r="S99" s="738"/>
      <c r="T99" s="319"/>
      <c r="U99" s="83"/>
      <c r="V99" s="123">
        <f>VLOOKUP(D99,Poeng!$B$10:$BC$252,Poeng!AG$1,FALSE)</f>
        <v>0</v>
      </c>
      <c r="W99" s="123" t="str">
        <f>VLOOKUP(D99,Poeng!$B$10:$BK$252,Poeng!BK$1,FALSE)</f>
        <v>Very Good</v>
      </c>
      <c r="X99" s="81"/>
      <c r="Y99" s="80"/>
      <c r="Z99" s="738"/>
      <c r="AC99" s="107">
        <f t="shared" si="12"/>
        <v>1</v>
      </c>
      <c r="AD99" s="3" t="e">
        <f>VLOOKUP(K99,'Assessment Details'!$O$45:$P$48,2,FALSE)</f>
        <v>#N/A</v>
      </c>
      <c r="AE99" s="3" t="e">
        <f>VLOOKUP(R99,'Assessment Details'!$O$45:$P$48,2,FALSE)</f>
        <v>#N/A</v>
      </c>
      <c r="AF99" s="3" t="e">
        <f>VLOOKUP(Y99,'Assessment Details'!$O$45:$P$48,2,FALSE)</f>
        <v>#N/A</v>
      </c>
    </row>
    <row r="100" spans="1:52" x14ac:dyDescent="0.25">
      <c r="A100" s="1076">
        <v>91</v>
      </c>
      <c r="B100" s="1077" t="s">
        <v>66</v>
      </c>
      <c r="C100" s="924" t="s">
        <v>147</v>
      </c>
      <c r="D100" s="824" t="s">
        <v>147</v>
      </c>
      <c r="E100" s="860" t="str">
        <f>VLOOKUP(D100,Poeng!$B$10:$R$252,Poeng!E$1,FALSE)</f>
        <v>Tra 02 Sustainable transport measures</v>
      </c>
      <c r="F100" s="865">
        <f>VLOOKUP(D100,Poeng!$B$10:$AB$252,Poeng!AB$1,FALSE)</f>
        <v>10</v>
      </c>
      <c r="G100" s="1001"/>
      <c r="H100" s="866" t="str">
        <f>VLOOKUP(D100,Poeng!$B$10:$AI$252,Poeng!AI$1,FALSE)&amp;" c. "&amp;ROUND(VLOOKUP(D100,Poeng!$B$10:$AE$252,Poeng!AE$1,FALSE)*100,1)&amp;" %"</f>
        <v>0 c. 0 %</v>
      </c>
      <c r="I100" s="924" t="str">
        <f>VLOOKUP(D100,Poeng!$B$10:$BE$252,Poeng!BE$1,FALSE)</f>
        <v>N/A</v>
      </c>
      <c r="J100" s="80"/>
      <c r="K100" s="281"/>
      <c r="L100" s="796"/>
      <c r="M100" s="816"/>
      <c r="N100" s="1001"/>
      <c r="O100" s="877" t="str">
        <f>VLOOKUP(D100,Poeng!$B$10:$BC$252,Poeng!AJ$1,FALSE)&amp;" c. "&amp;ROUND(VLOOKUP(D100,Poeng!$B$10:$BC$252,Poeng!AF$1,FALSE)*100,1)&amp;" %"</f>
        <v>0 c. 0 %</v>
      </c>
      <c r="P100" s="123" t="str">
        <f>VLOOKUP(D100,Poeng!$B$10:$BH$252,Poeng!BH$1,FALSE)</f>
        <v>N/A</v>
      </c>
      <c r="Q100" s="744"/>
      <c r="R100" s="745"/>
      <c r="S100" s="738"/>
      <c r="T100" s="319"/>
      <c r="U100" s="1001"/>
      <c r="V100" s="877" t="str">
        <f>VLOOKUP(D100,Poeng!$B$10:$BC$252,Poeng!AK$1,FALSE)&amp;" c. "&amp;ROUND(VLOOKUP(D100,Poeng!$B$10:$BC$252,Poeng!AG$1,FALSE)*100,1)&amp;" %"</f>
        <v>0 c. 0 %</v>
      </c>
      <c r="W100" s="123" t="str">
        <f>VLOOKUP(D100,Poeng!$B$10:$BK$252,Poeng!BK$1,FALSE)</f>
        <v>N/A</v>
      </c>
      <c r="X100" s="81"/>
      <c r="Y100" s="80"/>
      <c r="Z100" s="738"/>
      <c r="AA100" s="133"/>
      <c r="AB100" s="640" t="s">
        <v>14</v>
      </c>
      <c r="AC100" s="107">
        <f t="shared" si="12"/>
        <v>1</v>
      </c>
      <c r="AD100" s="3" t="e">
        <f>VLOOKUP(K100,'Assessment Details'!$O$45:$P$48,2,FALSE)</f>
        <v>#N/A</v>
      </c>
      <c r="AE100" s="3" t="e">
        <f>VLOOKUP(R100,'Assessment Details'!$O$45:$P$48,2,FALSE)</f>
        <v>#N/A</v>
      </c>
      <c r="AF100" s="3" t="e">
        <f>VLOOKUP(Y100,'Assessment Details'!$O$45:$P$48,2,FALSE)</f>
        <v>#N/A</v>
      </c>
      <c r="AI100" s="70"/>
      <c r="AJ100" s="671" t="s">
        <v>145</v>
      </c>
      <c r="AK100" s="70"/>
      <c r="AL100" s="70"/>
      <c r="AM100" s="70"/>
      <c r="AN100" s="70"/>
      <c r="AO100" s="70"/>
      <c r="AP100" s="70"/>
      <c r="AS100" s="23" t="str">
        <f t="shared" si="13"/>
        <v>N/A</v>
      </c>
      <c r="AT100" s="23" t="str">
        <f t="shared" si="14"/>
        <v>N/A</v>
      </c>
      <c r="AU100" s="23" t="str">
        <f t="shared" si="15"/>
        <v>N/A</v>
      </c>
      <c r="AV100" s="23"/>
      <c r="AW100" s="23"/>
      <c r="AX100" s="23"/>
      <c r="AZ100" s="640"/>
    </row>
    <row r="101" spans="1:52" x14ac:dyDescent="0.25">
      <c r="A101" s="1076">
        <v>92</v>
      </c>
      <c r="B101" s="1077" t="s">
        <v>66</v>
      </c>
      <c r="C101" s="1082" t="str">
        <f t="shared" si="7"/>
        <v>Tra 02</v>
      </c>
      <c r="D101" s="824" t="s">
        <v>761</v>
      </c>
      <c r="E101" s="861" t="str">
        <f>VLOOKUP(D101,Poeng!$B$10:$R$252,Poeng!E$1,FALSE)</f>
        <v>Pre-requisite: transport assessment and travel plan</v>
      </c>
      <c r="F101" s="122" t="str">
        <f>VLOOKUP(D101,Poeng!$B$10:$AB$252,Poeng!AB$1,FALSE)</f>
        <v>Yes/No</v>
      </c>
      <c r="G101" s="43"/>
      <c r="H101" s="123" t="str">
        <f>VLOOKUP(D101,Poeng!$B$10:$AE$252,Poeng!AE$1,FALSE)</f>
        <v>-</v>
      </c>
      <c r="I101" s="124" t="str">
        <f>VLOOKUP(D101,Poeng!$B$10:$BE$252,Poeng!BE$1,FALSE)</f>
        <v>N/A</v>
      </c>
      <c r="J101" s="80"/>
      <c r="K101" s="281"/>
      <c r="L101" s="796"/>
      <c r="M101" s="816"/>
      <c r="N101" s="83"/>
      <c r="O101" s="123" t="str">
        <f>VLOOKUP(D101,Poeng!$B$10:$BC$252,Poeng!AF$1,FALSE)</f>
        <v>-</v>
      </c>
      <c r="P101" s="123" t="str">
        <f>VLOOKUP(D101,Poeng!$B$10:$BH$252,Poeng!BH$1,FALSE)</f>
        <v>N/A</v>
      </c>
      <c r="Q101" s="744"/>
      <c r="R101" s="745"/>
      <c r="S101" s="738"/>
      <c r="T101" s="319"/>
      <c r="U101" s="83"/>
      <c r="V101" s="123" t="str">
        <f>VLOOKUP(D101,Poeng!$B$10:$BC$252,Poeng!AG$1,FALSE)</f>
        <v>-</v>
      </c>
      <c r="W101" s="123" t="str">
        <f>VLOOKUP(D101,Poeng!$B$10:$BK$252,Poeng!BK$1,FALSE)</f>
        <v>N/A</v>
      </c>
      <c r="X101" s="81"/>
      <c r="Y101" s="80"/>
      <c r="Z101" s="738"/>
      <c r="AA101" s="133"/>
      <c r="AB101" s="864"/>
      <c r="AC101" s="107">
        <f t="shared" si="12"/>
        <v>1</v>
      </c>
      <c r="AD101" s="3" t="e">
        <f>VLOOKUP(K101,'Assessment Details'!$O$45:$P$48,2,FALSE)</f>
        <v>#N/A</v>
      </c>
      <c r="AE101" s="3" t="e">
        <f>VLOOKUP(R101,'Assessment Details'!$O$45:$P$48,2,FALSE)</f>
        <v>#N/A</v>
      </c>
      <c r="AF101" s="3" t="e">
        <f>VLOOKUP(Y101,'Assessment Details'!$O$45:$P$48,2,FALSE)</f>
        <v>#N/A</v>
      </c>
      <c r="AI101" s="3"/>
      <c r="AJ101" s="3"/>
      <c r="AK101" s="3"/>
      <c r="AL101" s="3"/>
      <c r="AM101" s="3"/>
      <c r="AN101" s="3"/>
      <c r="AO101" s="3"/>
      <c r="AP101" s="3"/>
      <c r="AS101" s="23"/>
      <c r="AT101" s="23"/>
      <c r="AU101" s="23"/>
      <c r="AV101" s="23"/>
      <c r="AW101" s="23"/>
      <c r="AX101" s="23"/>
      <c r="AZ101" s="864"/>
    </row>
    <row r="102" spans="1:52" x14ac:dyDescent="0.25">
      <c r="A102" s="1076">
        <v>93</v>
      </c>
      <c r="B102" s="1077" t="s">
        <v>66</v>
      </c>
      <c r="C102" s="1082" t="str">
        <f t="shared" si="7"/>
        <v>Tra 02</v>
      </c>
      <c r="D102" s="824" t="s">
        <v>762</v>
      </c>
      <c r="E102" s="861" t="str">
        <f>VLOOKUP(D102,Poeng!$B$10:$R$252,Poeng!E$1,FALSE)</f>
        <v xml:space="preserve">Transport options implementation </v>
      </c>
      <c r="F102" s="122">
        <f>VLOOKUP(D102,Poeng!$B$10:$AB$252,Poeng!AB$1,FALSE)</f>
        <v>10</v>
      </c>
      <c r="G102" s="43"/>
      <c r="H102" s="123">
        <f>VLOOKUP(D102,Poeng!$B$10:$AE$252,Poeng!AE$1,FALSE)</f>
        <v>0</v>
      </c>
      <c r="I102" s="124" t="str">
        <f>VLOOKUP(D102,Poeng!$B$10:$BE$252,Poeng!BE$1,FALSE)</f>
        <v>N/A</v>
      </c>
      <c r="J102" s="80"/>
      <c r="K102" s="281"/>
      <c r="L102" s="796"/>
      <c r="M102" s="816"/>
      <c r="N102" s="83"/>
      <c r="O102" s="123">
        <f>VLOOKUP(D102,Poeng!$B$10:$BC$252,Poeng!AF$1,FALSE)</f>
        <v>0</v>
      </c>
      <c r="P102" s="123" t="str">
        <f>VLOOKUP(D102,Poeng!$B$10:$BH$252,Poeng!BH$1,FALSE)</f>
        <v>N/A</v>
      </c>
      <c r="Q102" s="744"/>
      <c r="R102" s="745"/>
      <c r="S102" s="1095"/>
      <c r="T102" s="319"/>
      <c r="U102" s="83"/>
      <c r="V102" s="123">
        <f>VLOOKUP(D102,Poeng!$B$10:$BC$252,Poeng!AG$1,FALSE)</f>
        <v>0</v>
      </c>
      <c r="W102" s="123" t="str">
        <f>VLOOKUP(D102,Poeng!$B$10:$BK$252,Poeng!BK$1,FALSE)</f>
        <v>N/A</v>
      </c>
      <c r="X102" s="81"/>
      <c r="Y102" s="80"/>
      <c r="Z102" s="1095"/>
      <c r="AA102" s="133"/>
      <c r="AB102" s="714"/>
      <c r="AC102" s="107">
        <f t="shared" si="12"/>
        <v>1</v>
      </c>
      <c r="AD102" s="3" t="e">
        <f>VLOOKUP(K102,'Assessment Details'!$O$45:$P$48,2,FALSE)</f>
        <v>#N/A</v>
      </c>
      <c r="AE102" s="3" t="e">
        <f>VLOOKUP(R102,'Assessment Details'!$O$45:$P$48,2,FALSE)</f>
        <v>#N/A</v>
      </c>
      <c r="AF102" s="3" t="e">
        <f>VLOOKUP(Y102,'Assessment Details'!$O$45:$P$48,2,FALSE)</f>
        <v>#N/A</v>
      </c>
      <c r="AI102" s="70"/>
      <c r="AJ102" s="671"/>
      <c r="AK102" s="70"/>
      <c r="AL102" s="70"/>
      <c r="AM102" s="70"/>
      <c r="AN102" s="70"/>
      <c r="AO102" s="70"/>
      <c r="AP102" s="70"/>
      <c r="AS102" s="23"/>
      <c r="AT102" s="23"/>
      <c r="AU102" s="23"/>
      <c r="AV102" s="23"/>
      <c r="AW102" s="23"/>
      <c r="AX102" s="23"/>
      <c r="AZ102" s="714"/>
    </row>
    <row r="103" spans="1:52" ht="15.75" thickBot="1" x14ac:dyDescent="0.3">
      <c r="A103" s="1076">
        <v>94</v>
      </c>
      <c r="B103" s="1077" t="s">
        <v>66</v>
      </c>
      <c r="C103" s="1083"/>
      <c r="D103" s="824" t="s">
        <v>884</v>
      </c>
      <c r="E103" s="320" t="s">
        <v>105</v>
      </c>
      <c r="F103" s="125">
        <f>Tra_Credits</f>
        <v>13</v>
      </c>
      <c r="G103" s="131"/>
      <c r="H103" s="126">
        <f>Tra_cont_tot</f>
        <v>0</v>
      </c>
      <c r="I103" s="867" t="str">
        <f>"Credits achieved: "&amp;Tra_tot_user</f>
        <v>Credits achieved: 0</v>
      </c>
      <c r="J103" s="134"/>
      <c r="K103" s="282"/>
      <c r="L103" s="746"/>
      <c r="M103" s="816"/>
      <c r="N103" s="383"/>
      <c r="O103" s="126">
        <f>VLOOKUP(D103,Poeng!$B$10:$BC$252,Poeng!AF$1,FALSE)</f>
        <v>0</v>
      </c>
      <c r="P103" s="867" t="str">
        <f>"Credits achieved: "&amp;Tra_d_user</f>
        <v>Credits achieved: 0</v>
      </c>
      <c r="Q103" s="747"/>
      <c r="R103" s="748"/>
      <c r="S103" s="746"/>
      <c r="T103" s="319"/>
      <c r="U103" s="383"/>
      <c r="V103" s="126">
        <f>VLOOKUP(D103,Poeng!$B$10:$BC$252,Poeng!AG$1,FALSE)</f>
        <v>0</v>
      </c>
      <c r="W103" s="867" t="str">
        <f>"Credits achieved: "&amp;Tra_c_user</f>
        <v>Credits achieved: 0</v>
      </c>
      <c r="X103" s="382"/>
      <c r="Y103" s="136"/>
      <c r="Z103" s="746"/>
      <c r="AA103" s="133"/>
      <c r="AB103" s="641"/>
      <c r="AC103" s="107">
        <f t="shared" si="12"/>
        <v>1</v>
      </c>
      <c r="AD103" s="276">
        <v>0</v>
      </c>
      <c r="AE103" s="276">
        <v>0</v>
      </c>
      <c r="AF103" s="276">
        <v>0</v>
      </c>
      <c r="AI103" s="70"/>
      <c r="AJ103" s="671" t="s">
        <v>105</v>
      </c>
      <c r="AK103" s="70"/>
      <c r="AL103" s="70"/>
      <c r="AM103" s="70"/>
      <c r="AN103" s="70"/>
      <c r="AO103" s="70"/>
      <c r="AP103" s="70"/>
      <c r="AS103" s="23" t="str">
        <f t="shared" si="13"/>
        <v>N/A</v>
      </c>
      <c r="AT103" s="23" t="str">
        <f t="shared" si="14"/>
        <v>N/A</v>
      </c>
      <c r="AU103" s="23" t="str">
        <f t="shared" si="15"/>
        <v>N/A</v>
      </c>
      <c r="AV103" s="23"/>
      <c r="AW103" s="23"/>
      <c r="AX103" s="23"/>
      <c r="AZ103" s="641"/>
    </row>
    <row r="104" spans="1:52" x14ac:dyDescent="0.25">
      <c r="A104" s="1076">
        <v>95</v>
      </c>
      <c r="B104" s="1077" t="s">
        <v>66</v>
      </c>
      <c r="C104" s="322"/>
      <c r="D104" s="824"/>
      <c r="E104" s="321"/>
      <c r="F104" s="322"/>
      <c r="G104" s="323"/>
      <c r="H104" s="322"/>
      <c r="I104" s="978"/>
      <c r="J104" s="324"/>
      <c r="K104" s="323"/>
      <c r="L104" s="749"/>
      <c r="M104" s="815"/>
      <c r="N104" s="325"/>
      <c r="O104" s="325"/>
      <c r="P104" s="749"/>
      <c r="Q104" s="749"/>
      <c r="R104" s="750"/>
      <c r="S104" s="1094"/>
      <c r="T104" s="326"/>
      <c r="U104" s="325"/>
      <c r="V104" s="325"/>
      <c r="W104" s="749"/>
      <c r="X104" s="324"/>
      <c r="Y104" s="325"/>
      <c r="Z104" s="1094"/>
      <c r="AA104" s="699"/>
      <c r="AB104" s="324"/>
      <c r="AC104" s="107">
        <f t="shared" si="12"/>
        <v>1</v>
      </c>
      <c r="AD104" s="278">
        <v>0</v>
      </c>
      <c r="AE104" s="278">
        <v>0</v>
      </c>
      <c r="AF104" s="278">
        <v>0</v>
      </c>
      <c r="AI104" s="70"/>
      <c r="AJ104" s="671"/>
      <c r="AK104" s="70"/>
      <c r="AL104" s="70"/>
      <c r="AM104" s="70"/>
      <c r="AN104" s="70"/>
      <c r="AO104" s="70"/>
      <c r="AP104" s="70"/>
      <c r="AS104" s="23" t="str">
        <f t="shared" si="13"/>
        <v>N/A</v>
      </c>
      <c r="AT104" s="23" t="str">
        <f t="shared" si="14"/>
        <v>N/A</v>
      </c>
      <c r="AU104" s="23" t="str">
        <f t="shared" si="15"/>
        <v>N/A</v>
      </c>
      <c r="AV104" s="23"/>
      <c r="AW104" s="23"/>
      <c r="AX104" s="23"/>
      <c r="AZ104" s="324"/>
    </row>
    <row r="105" spans="1:52" ht="18.75" x14ac:dyDescent="0.25">
      <c r="A105" s="1076">
        <v>96</v>
      </c>
      <c r="B105" s="1075" t="s">
        <v>58</v>
      </c>
      <c r="C105" s="1084"/>
      <c r="D105" s="823"/>
      <c r="E105" s="327" t="s">
        <v>53</v>
      </c>
      <c r="F105" s="315"/>
      <c r="G105" s="316"/>
      <c r="H105" s="336"/>
      <c r="I105" s="315"/>
      <c r="J105" s="328"/>
      <c r="K105" s="329"/>
      <c r="L105" s="752"/>
      <c r="M105" s="816"/>
      <c r="N105" s="339"/>
      <c r="O105" s="332"/>
      <c r="P105" s="742"/>
      <c r="Q105" s="753"/>
      <c r="R105" s="754"/>
      <c r="S105" s="755"/>
      <c r="T105" s="319"/>
      <c r="U105" s="339"/>
      <c r="V105" s="338"/>
      <c r="W105" s="742"/>
      <c r="X105" s="328"/>
      <c r="Y105" s="338"/>
      <c r="Z105" s="752"/>
      <c r="AA105" s="133"/>
      <c r="AB105" s="337"/>
      <c r="AC105" s="107">
        <f t="shared" si="12"/>
        <v>1</v>
      </c>
      <c r="AD105" s="275">
        <v>0</v>
      </c>
      <c r="AE105" s="275">
        <v>0</v>
      </c>
      <c r="AF105" s="275">
        <v>0</v>
      </c>
      <c r="AI105" s="70"/>
      <c r="AJ105" s="671" t="s">
        <v>53</v>
      </c>
      <c r="AK105" s="70"/>
      <c r="AL105" s="70"/>
      <c r="AM105" s="70"/>
      <c r="AN105" s="70"/>
      <c r="AO105" s="70"/>
      <c r="AP105" s="70"/>
      <c r="AS105" s="23" t="str">
        <f t="shared" si="13"/>
        <v>N/A</v>
      </c>
      <c r="AT105" s="23" t="str">
        <f t="shared" si="14"/>
        <v>N/A</v>
      </c>
      <c r="AU105" s="23" t="str">
        <f t="shared" si="15"/>
        <v>N/A</v>
      </c>
      <c r="AV105" s="23"/>
      <c r="AW105" s="23"/>
      <c r="AX105" s="23"/>
      <c r="AZ105" s="337"/>
    </row>
    <row r="106" spans="1:52" x14ac:dyDescent="0.25">
      <c r="A106" s="1076">
        <v>97</v>
      </c>
      <c r="B106" s="1075" t="s">
        <v>58</v>
      </c>
      <c r="C106" s="924" t="s">
        <v>168</v>
      </c>
      <c r="D106" s="824" t="s">
        <v>168</v>
      </c>
      <c r="E106" s="860" t="str">
        <f>VLOOKUP(D106,Poeng!$B$10:$R$252,Poeng!E$1,FALSE)</f>
        <v>Wat 01 Water consumption</v>
      </c>
      <c r="F106" s="865">
        <f>VLOOKUP(D106,Poeng!$B$10:$AB$252,Poeng!AB$1,FALSE)</f>
        <v>5</v>
      </c>
      <c r="G106" s="1000"/>
      <c r="H106" s="866" t="str">
        <f>VLOOKUP(D106,Poeng!$B$10:$AI$252,Poeng!AI$1,FALSE)&amp;" c. "&amp;ROUND(VLOOKUP(D106,Poeng!$B$10:$AE$252,Poeng!AE$1,FALSE)*100,1)&amp;" %"</f>
        <v>0 c. 0 %</v>
      </c>
      <c r="I106" s="923" t="str">
        <f>VLOOKUP(D106,Poeng!$B$10:$BE$252,Poeng!BE$1,FALSE)</f>
        <v>N/A</v>
      </c>
      <c r="J106" s="874"/>
      <c r="K106" s="875"/>
      <c r="L106" s="876"/>
      <c r="M106" s="815"/>
      <c r="N106" s="1001"/>
      <c r="O106" s="1093" t="str">
        <f>VLOOKUP(D106,Poeng!$B$10:$BC$252,Poeng!AJ$1,FALSE)&amp;" c. "&amp;ROUND(VLOOKUP(D106,Poeng!$B$10:$BC$252,Poeng!AF$1,FALSE)*100,1)&amp;" %"</f>
        <v>0 c. 0 %</v>
      </c>
      <c r="P106" s="123" t="str">
        <f>VLOOKUP(D106,Poeng!$B$10:$BH$252,Poeng!BH$1,FALSE)</f>
        <v>N/A</v>
      </c>
      <c r="Q106" s="744"/>
      <c r="R106" s="745"/>
      <c r="S106" s="738"/>
      <c r="T106" s="319"/>
      <c r="U106" s="1001"/>
      <c r="V106" s="877" t="str">
        <f>VLOOKUP(D106,Poeng!$B$10:$BC$252,Poeng!AK$1,FALSE)&amp;" c. "&amp;ROUND(VLOOKUP(D106,Poeng!$B$10:$BC$252,Poeng!AG$1,FALSE)*100,1)&amp;" %"</f>
        <v>0 c. 0 %</v>
      </c>
      <c r="W106" s="123" t="str">
        <f>VLOOKUP(D106,Poeng!$B$10:$BK$252,Poeng!BK$1,FALSE)</f>
        <v>N/A</v>
      </c>
      <c r="X106" s="81"/>
      <c r="Y106" s="80"/>
      <c r="Z106" s="738"/>
      <c r="AA106" s="133"/>
      <c r="AB106" s="640" t="s">
        <v>13</v>
      </c>
      <c r="AC106" s="107">
        <f t="shared" si="12"/>
        <v>1</v>
      </c>
      <c r="AD106" s="3" t="e">
        <f>VLOOKUP(K106,'Assessment Details'!$O$45:$P$48,2,FALSE)</f>
        <v>#N/A</v>
      </c>
      <c r="AE106" s="3" t="e">
        <f>VLOOKUP(R106,'Assessment Details'!$O$45:$P$48,2,FALSE)</f>
        <v>#N/A</v>
      </c>
      <c r="AF106" s="3" t="e">
        <f>VLOOKUP(Y106,'Assessment Details'!$O$45:$P$48,2,FALSE)</f>
        <v>#N/A</v>
      </c>
      <c r="AI106" s="70"/>
      <c r="AJ106" s="671" t="s">
        <v>151</v>
      </c>
      <c r="AK106" s="648" t="s">
        <v>405</v>
      </c>
      <c r="AL106" s="648" t="s">
        <v>407</v>
      </c>
      <c r="AM106" s="70"/>
      <c r="AN106" s="70"/>
      <c r="AO106" s="70"/>
      <c r="AP106" s="70"/>
      <c r="AR106" s="1" t="s">
        <v>13</v>
      </c>
      <c r="AS106" s="23" t="str">
        <f t="shared" si="13"/>
        <v>N/A</v>
      </c>
      <c r="AT106" s="23" t="str">
        <f t="shared" si="14"/>
        <v>N/A</v>
      </c>
      <c r="AU106" s="23" t="str">
        <f t="shared" si="15"/>
        <v>N/A</v>
      </c>
      <c r="AV106" s="23"/>
      <c r="AW106" s="23"/>
      <c r="AX106" s="23"/>
      <c r="AZ106" s="640"/>
    </row>
    <row r="107" spans="1:52" x14ac:dyDescent="0.25">
      <c r="A107" s="1076">
        <v>98</v>
      </c>
      <c r="B107" s="1075" t="s">
        <v>58</v>
      </c>
      <c r="C107" s="1082" t="str">
        <f>C106</f>
        <v>Wat 01</v>
      </c>
      <c r="D107" s="824" t="s">
        <v>763</v>
      </c>
      <c r="E107" s="861" t="str">
        <f>VLOOKUP(D107,Poeng!$B$10:$R$259,Poeng!E$1,FALSE)</f>
        <v>Water efficient components</v>
      </c>
      <c r="F107" s="122">
        <f>VLOOKUP(D107,Poeng!$B$10:$AB$259,Poeng!AB$1,FALSE)</f>
        <v>5</v>
      </c>
      <c r="G107" s="43"/>
      <c r="H107" s="123">
        <f>VLOOKUP(D107,Poeng!$B$10:$AE$259,Poeng!AE$1,FALSE)</f>
        <v>0</v>
      </c>
      <c r="I107" s="124" t="str">
        <f>VLOOKUP(D107,Poeng!$B$10:$BE$259,Poeng!BE$1,FALSE)</f>
        <v>Very Good</v>
      </c>
      <c r="J107" s="1119"/>
      <c r="K107" s="1120"/>
      <c r="L107" s="1121"/>
      <c r="M107" s="815"/>
      <c r="N107" s="83"/>
      <c r="O107" s="123">
        <f>VLOOKUP(D107,Poeng!$B$10:$BC$259,Poeng!AF$1,FALSE)</f>
        <v>0</v>
      </c>
      <c r="P107" s="123" t="str">
        <f>VLOOKUP(D107,Poeng!$B$10:$BH$259,Poeng!BH$1,FALSE)</f>
        <v>Very Good</v>
      </c>
      <c r="Q107" s="744"/>
      <c r="R107" s="745"/>
      <c r="S107" s="738"/>
      <c r="T107" s="319"/>
      <c r="U107" s="83"/>
      <c r="V107" s="123">
        <f>VLOOKUP(D107,Poeng!$B$10:$BC$259,Poeng!AG$1,FALSE)</f>
        <v>0</v>
      </c>
      <c r="W107" s="123" t="str">
        <f>VLOOKUP(D107,Poeng!$B$10:$BK$259,Poeng!BK$1,FALSE)</f>
        <v>Very Good</v>
      </c>
      <c r="X107" s="81"/>
      <c r="Y107" s="80"/>
      <c r="Z107" s="738"/>
      <c r="AA107" s="133"/>
      <c r="AB107" s="640"/>
      <c r="AC107" s="107">
        <f t="shared" ref="AC107" si="16">IF(F107="",1,IF(F107=0,2,1))</f>
        <v>1</v>
      </c>
      <c r="AD107" s="3" t="e">
        <f>VLOOKUP(K107,'Assessment Details'!$O$45:$P$48,2,FALSE)</f>
        <v>#N/A</v>
      </c>
      <c r="AE107" s="3" t="e">
        <f>VLOOKUP(R107,'Assessment Details'!$O$45:$P$48,2,FALSE)</f>
        <v>#N/A</v>
      </c>
      <c r="AF107" s="3" t="e">
        <f>VLOOKUP(Y107,'Assessment Details'!$O$45:$P$48,2,FALSE)</f>
        <v>#N/A</v>
      </c>
      <c r="AI107" s="70"/>
      <c r="AJ107" s="671"/>
      <c r="AK107" s="648"/>
      <c r="AL107" s="648"/>
      <c r="AM107" s="70"/>
      <c r="AN107" s="70"/>
      <c r="AO107" s="70"/>
      <c r="AP107" s="70"/>
      <c r="AS107" s="23"/>
      <c r="AT107" s="23"/>
      <c r="AU107" s="23"/>
      <c r="AV107" s="23"/>
      <c r="AW107" s="23"/>
      <c r="AX107" s="23"/>
      <c r="AZ107" s="640"/>
    </row>
    <row r="108" spans="1:52" x14ac:dyDescent="0.25">
      <c r="A108" s="1076">
        <v>99</v>
      </c>
      <c r="B108" s="1075" t="s">
        <v>58</v>
      </c>
      <c r="C108" s="1082" t="str">
        <f>C106</f>
        <v>Wat 01</v>
      </c>
      <c r="D108" s="824" t="s">
        <v>1031</v>
      </c>
      <c r="E108" s="1255" t="str">
        <f>VLOOKUP(D108,Poeng!$B$10:$R$259,Poeng!E$1,FALSE)</f>
        <v>EU taxonomy requirements: criterion 2</v>
      </c>
      <c r="F108" s="122" t="str">
        <f>VLOOKUP(D108,Poeng!$B$10:$AB$259,Poeng!AB$1,FALSE)</f>
        <v>Yes/No</v>
      </c>
      <c r="G108" s="43"/>
      <c r="H108" s="123" t="str">
        <f>VLOOKUP(D108,Poeng!$B$10:$AE$259,Poeng!AE$1,FALSE)</f>
        <v>-</v>
      </c>
      <c r="I108" s="124" t="str">
        <f>VLOOKUP(D108,Poeng!$B$10:$BE$259,Poeng!BE$1,FALSE)</f>
        <v>N/A</v>
      </c>
      <c r="J108" s="80"/>
      <c r="K108" s="281"/>
      <c r="L108" s="796"/>
      <c r="M108" s="816"/>
      <c r="N108" s="83"/>
      <c r="O108" s="123" t="str">
        <f>VLOOKUP(D108,Poeng!$B$10:$BC$259,Poeng!AF$1,FALSE)</f>
        <v>-</v>
      </c>
      <c r="P108" s="123" t="str">
        <f>VLOOKUP(D108,Poeng!$B$10:$BH$259,Poeng!BH$1,FALSE)</f>
        <v>N/A</v>
      </c>
      <c r="Q108" s="744"/>
      <c r="R108" s="745"/>
      <c r="S108" s="738"/>
      <c r="T108" s="319"/>
      <c r="U108" s="83"/>
      <c r="V108" s="123" t="str">
        <f>VLOOKUP(D108,Poeng!$B$10:$BC$259,Poeng!AG$1,FALSE)</f>
        <v>-</v>
      </c>
      <c r="W108" s="123" t="str">
        <f>VLOOKUP(D108,Poeng!$B$10:$BK$259,Poeng!BK$1,FALSE)</f>
        <v>N/A</v>
      </c>
      <c r="X108" s="81"/>
      <c r="Y108" s="80"/>
      <c r="Z108" s="1095"/>
      <c r="AA108" s="133"/>
      <c r="AB108" s="640"/>
      <c r="AC108" s="107">
        <f t="shared" si="12"/>
        <v>1</v>
      </c>
      <c r="AD108" s="3" t="e">
        <f>VLOOKUP(K108,'Assessment Details'!$O$45:$P$48,2,FALSE)</f>
        <v>#N/A</v>
      </c>
      <c r="AE108" s="3" t="e">
        <f>VLOOKUP(R108,'Assessment Details'!$O$45:$P$48,2,FALSE)</f>
        <v>#N/A</v>
      </c>
      <c r="AF108" s="3" t="e">
        <f>VLOOKUP(Y108,'Assessment Details'!$O$45:$P$48,2,FALSE)</f>
        <v>#N/A</v>
      </c>
      <c r="AI108" s="70"/>
      <c r="AJ108" s="671"/>
      <c r="AK108" s="648"/>
      <c r="AL108" s="648"/>
      <c r="AM108" s="70"/>
      <c r="AN108" s="70"/>
      <c r="AO108" s="70"/>
      <c r="AP108" s="70"/>
      <c r="AS108" s="23"/>
      <c r="AT108" s="23"/>
      <c r="AU108" s="23"/>
      <c r="AV108" s="23"/>
      <c r="AW108" s="23"/>
      <c r="AX108" s="23"/>
      <c r="AZ108" s="640"/>
    </row>
    <row r="109" spans="1:52" x14ac:dyDescent="0.25">
      <c r="A109" s="1076">
        <v>100</v>
      </c>
      <c r="B109" s="1075" t="s">
        <v>58</v>
      </c>
      <c r="C109" s="924" t="s">
        <v>169</v>
      </c>
      <c r="D109" s="824" t="s">
        <v>169</v>
      </c>
      <c r="E109" s="860" t="str">
        <f>VLOOKUP(D109,Poeng!$B$10:$R$252,Poeng!E$1,FALSE)</f>
        <v>Wat 02 Water monitoring</v>
      </c>
      <c r="F109" s="865">
        <f>VLOOKUP(D109,Poeng!$B$10:$AB$252,Poeng!AB$1,FALSE)</f>
        <v>1</v>
      </c>
      <c r="G109" s="1001"/>
      <c r="H109" s="866" t="str">
        <f>VLOOKUP(D109,Poeng!$B$10:$AI$252,Poeng!AI$1,FALSE)&amp;" c. "&amp;ROUND(VLOOKUP(D109,Poeng!$B$10:$AE$252,Poeng!AE$1,FALSE)*100,1)&amp;" %"</f>
        <v>0 c. 0 %</v>
      </c>
      <c r="I109" s="924" t="str">
        <f>VLOOKUP(D109,Poeng!$B$10:$BE$252,Poeng!BE$1,FALSE)</f>
        <v>N/A</v>
      </c>
      <c r="J109" s="80"/>
      <c r="K109" s="281"/>
      <c r="L109" s="796"/>
      <c r="M109" s="816"/>
      <c r="N109" s="1001"/>
      <c r="O109" s="877" t="str">
        <f>VLOOKUP(D109,Poeng!$B$10:$BC$252,Poeng!AJ$1,FALSE)&amp;" c. "&amp;ROUND(VLOOKUP(D109,Poeng!$B$10:$BC$252,Poeng!AF$1,FALSE)*100,1)&amp;" %"</f>
        <v>0 c. 0 %</v>
      </c>
      <c r="P109" s="123" t="str">
        <f>VLOOKUP(D109,Poeng!$B$10:$BH$252,Poeng!BH$1,FALSE)</f>
        <v>N/A</v>
      </c>
      <c r="Q109" s="744"/>
      <c r="R109" s="745"/>
      <c r="S109" s="738"/>
      <c r="T109" s="319"/>
      <c r="U109" s="1001"/>
      <c r="V109" s="877" t="str">
        <f>VLOOKUP(D109,Poeng!$B$10:$BC$252,Poeng!AK$1,FALSE)&amp;" c. "&amp;ROUND(VLOOKUP(D109,Poeng!$B$10:$BC$252,Poeng!AG$1,FALSE)*100,1)&amp;" %"</f>
        <v>0 c. 0 %</v>
      </c>
      <c r="W109" s="123" t="str">
        <f>VLOOKUP(D109,Poeng!$B$10:$BK$252,Poeng!BK$1,FALSE)</f>
        <v>N/A</v>
      </c>
      <c r="X109" s="81"/>
      <c r="Y109" s="80"/>
      <c r="Z109" s="738"/>
      <c r="AA109" s="133"/>
      <c r="AB109" s="640" t="s">
        <v>13</v>
      </c>
      <c r="AC109" s="107">
        <f t="shared" si="12"/>
        <v>1</v>
      </c>
      <c r="AD109" s="3" t="e">
        <f>VLOOKUP(K109,'Assessment Details'!$O$45:$P$48,2,FALSE)</f>
        <v>#N/A</v>
      </c>
      <c r="AE109" s="3" t="e">
        <f>VLOOKUP(R109,'Assessment Details'!$O$45:$P$48,2,FALSE)</f>
        <v>#N/A</v>
      </c>
      <c r="AF109" s="3" t="e">
        <f>VLOOKUP(Y109,'Assessment Details'!$O$45:$P$48,2,FALSE)</f>
        <v>#N/A</v>
      </c>
      <c r="AI109" s="70" t="str">
        <f>ais_ja</f>
        <v>Ja</v>
      </c>
      <c r="AJ109" s="671" t="s">
        <v>152</v>
      </c>
      <c r="AK109" s="648" t="s">
        <v>405</v>
      </c>
      <c r="AL109" s="648" t="s">
        <v>409</v>
      </c>
      <c r="AM109" s="648" t="s">
        <v>407</v>
      </c>
      <c r="AN109" s="70"/>
      <c r="AO109" s="70"/>
      <c r="AP109" s="70"/>
      <c r="AR109" s="1" t="s">
        <v>13</v>
      </c>
      <c r="AS109" s="23" t="str">
        <f t="shared" si="13"/>
        <v>N/A</v>
      </c>
      <c r="AT109" s="23" t="str">
        <f t="shared" si="14"/>
        <v>N/A</v>
      </c>
      <c r="AU109" s="23" t="str">
        <f t="shared" si="15"/>
        <v>N/A</v>
      </c>
      <c r="AV109" s="23"/>
      <c r="AW109" s="23"/>
      <c r="AX109" s="23"/>
      <c r="AZ109" s="640"/>
    </row>
    <row r="110" spans="1:52" x14ac:dyDescent="0.25">
      <c r="A110" s="1076">
        <v>101</v>
      </c>
      <c r="B110" s="1075" t="s">
        <v>58</v>
      </c>
      <c r="C110" s="1082" t="str">
        <f t="shared" ref="C110" si="17">C109</f>
        <v>Wat 02</v>
      </c>
      <c r="D110" s="824" t="s">
        <v>764</v>
      </c>
      <c r="E110" s="861" t="str">
        <f>VLOOKUP(D110,Poeng!$B$10:$R$252,Poeng!E$1,FALSE)</f>
        <v>Water meter</v>
      </c>
      <c r="F110" s="122">
        <f>VLOOKUP(D110,Poeng!$B$10:$AB$252,Poeng!AB$1,FALSE)</f>
        <v>1</v>
      </c>
      <c r="G110" s="43"/>
      <c r="H110" s="123">
        <f>VLOOKUP(D110,Poeng!$B$10:$AE$252,Poeng!AE$1,FALSE)</f>
        <v>0</v>
      </c>
      <c r="I110" s="124" t="str">
        <f>VLOOKUP(D110,Poeng!$B$10:$BE$252,Poeng!BE$1,FALSE)</f>
        <v>N/A</v>
      </c>
      <c r="J110" s="80"/>
      <c r="K110" s="281"/>
      <c r="L110" s="796"/>
      <c r="M110" s="816"/>
      <c r="N110" s="83"/>
      <c r="O110" s="123">
        <f>VLOOKUP(D110,Poeng!$B$10:$BC$252,Poeng!AF$1,FALSE)</f>
        <v>0</v>
      </c>
      <c r="P110" s="123" t="str">
        <f>VLOOKUP(D110,Poeng!$B$10:$BH$252,Poeng!BH$1,FALSE)</f>
        <v>N/A</v>
      </c>
      <c r="Q110" s="744"/>
      <c r="R110" s="745"/>
      <c r="S110" s="738"/>
      <c r="T110" s="319"/>
      <c r="U110" s="83"/>
      <c r="V110" s="123">
        <f>VLOOKUP(D110,Poeng!$B$10:$BC$252,Poeng!AG$1,FALSE)</f>
        <v>0</v>
      </c>
      <c r="W110" s="123" t="str">
        <f>VLOOKUP(D110,Poeng!$B$10:$BK$252,Poeng!BK$1,FALSE)</f>
        <v>N/A</v>
      </c>
      <c r="X110" s="81"/>
      <c r="Y110" s="80"/>
      <c r="Z110" s="738"/>
      <c r="AA110" s="133"/>
      <c r="AB110" s="640"/>
      <c r="AC110" s="107">
        <f t="shared" si="12"/>
        <v>1</v>
      </c>
      <c r="AD110" s="3" t="e">
        <f>VLOOKUP(K110,'Assessment Details'!$O$45:$P$48,2,FALSE)</f>
        <v>#N/A</v>
      </c>
      <c r="AE110" s="3" t="e">
        <f>VLOOKUP(R110,'Assessment Details'!$O$45:$P$48,2,FALSE)</f>
        <v>#N/A</v>
      </c>
      <c r="AF110" s="3" t="e">
        <f>VLOOKUP(Y110,'Assessment Details'!$O$45:$P$48,2,FALSE)</f>
        <v>#N/A</v>
      </c>
      <c r="AI110" s="70"/>
      <c r="AJ110" s="671"/>
      <c r="AK110" s="727"/>
      <c r="AL110" s="727"/>
      <c r="AM110" s="727"/>
      <c r="AN110" s="3"/>
      <c r="AO110" s="70"/>
      <c r="AP110" s="70"/>
      <c r="AS110" s="23"/>
      <c r="AT110" s="23"/>
      <c r="AU110" s="23"/>
      <c r="AV110" s="23"/>
      <c r="AW110" s="23"/>
      <c r="AX110" s="23"/>
      <c r="AZ110" s="640"/>
    </row>
    <row r="111" spans="1:52" x14ac:dyDescent="0.25">
      <c r="A111" s="1076">
        <v>102</v>
      </c>
      <c r="B111" s="1075" t="s">
        <v>58</v>
      </c>
      <c r="C111" s="924" t="s">
        <v>170</v>
      </c>
      <c r="D111" s="824" t="s">
        <v>170</v>
      </c>
      <c r="E111" s="860" t="str">
        <f>VLOOKUP(D111,Poeng!$B$10:$R$252,Poeng!E$1,FALSE)</f>
        <v>Wat 03 Water leak detection and prevention</v>
      </c>
      <c r="F111" s="865">
        <f>VLOOKUP(D111,Poeng!$B$10:$AB$252,Poeng!AB$1,FALSE)</f>
        <v>2</v>
      </c>
      <c r="G111" s="1001"/>
      <c r="H111" s="866" t="str">
        <f>VLOOKUP(D111,Poeng!$B$10:$AI$252,Poeng!AI$1,FALSE)&amp;" c. "&amp;ROUND(VLOOKUP(D111,Poeng!$B$10:$AE$252,Poeng!AE$1,FALSE)*100,1)&amp;" %"</f>
        <v>0 c. 0 %</v>
      </c>
      <c r="I111" s="924" t="str">
        <f>VLOOKUP(D111,Poeng!$B$10:$BE$252,Poeng!BE$1,FALSE)</f>
        <v>N/A</v>
      </c>
      <c r="J111" s="80"/>
      <c r="K111" s="281"/>
      <c r="L111" s="796"/>
      <c r="M111" s="816"/>
      <c r="N111" s="1001"/>
      <c r="O111" s="877" t="str">
        <f>VLOOKUP(D111,Poeng!$B$10:$BC$252,Poeng!AJ$1,FALSE)&amp;" c. "&amp;ROUND(VLOOKUP(D111,Poeng!$B$10:$BC$252,Poeng!AF$1,FALSE)*100,1)&amp;" %"</f>
        <v>0 c. 0 %</v>
      </c>
      <c r="P111" s="123" t="str">
        <f>VLOOKUP(D111,Poeng!$B$10:$BH$252,Poeng!BH$1,FALSE)</f>
        <v>N/A</v>
      </c>
      <c r="Q111" s="744"/>
      <c r="R111" s="745"/>
      <c r="S111" s="738"/>
      <c r="T111" s="319"/>
      <c r="U111" s="1001"/>
      <c r="V111" s="877" t="str">
        <f>VLOOKUP(D111,Poeng!$B$10:$BC$252,Poeng!AK$1,FALSE)&amp;" c. "&amp;ROUND(VLOOKUP(D111,Poeng!$B$10:$BC$252,Poeng!AG$1,FALSE)*100,1)&amp;" %"</f>
        <v>0 c. 0 %</v>
      </c>
      <c r="W111" s="123" t="str">
        <f>VLOOKUP(D111,Poeng!$B$10:$BK$252,Poeng!BK$1,FALSE)</f>
        <v>N/A</v>
      </c>
      <c r="X111" s="81"/>
      <c r="Y111" s="80"/>
      <c r="Z111" s="738"/>
      <c r="AA111" s="133"/>
      <c r="AB111" s="640" t="s">
        <v>13</v>
      </c>
      <c r="AC111" s="107">
        <f t="shared" si="12"/>
        <v>1</v>
      </c>
      <c r="AD111" s="3" t="e">
        <f>VLOOKUP(K111,'Assessment Details'!$O$45:$P$48,2,FALSE)</f>
        <v>#N/A</v>
      </c>
      <c r="AE111" s="3" t="e">
        <f>VLOOKUP(R111,'Assessment Details'!$O$45:$P$48,2,FALSE)</f>
        <v>#N/A</v>
      </c>
      <c r="AF111" s="3" t="e">
        <f>VLOOKUP(Y111,'Assessment Details'!$O$45:$P$48,2,FALSE)</f>
        <v>#N/A</v>
      </c>
      <c r="AI111" s="70" t="str">
        <f>ais_ja</f>
        <v>Ja</v>
      </c>
      <c r="AJ111" s="671" t="s">
        <v>153</v>
      </c>
      <c r="AK111" s="653" t="s">
        <v>448</v>
      </c>
      <c r="AL111" s="653" t="s">
        <v>447</v>
      </c>
      <c r="AM111" s="653" t="s">
        <v>449</v>
      </c>
      <c r="AN111" s="653" t="s">
        <v>439</v>
      </c>
      <c r="AO111" s="70"/>
      <c r="AP111" s="70"/>
      <c r="AR111" s="1" t="s">
        <v>13</v>
      </c>
      <c r="AS111" s="23" t="str">
        <f t="shared" si="13"/>
        <v>N/A</v>
      </c>
      <c r="AT111" s="23" t="str">
        <f t="shared" si="14"/>
        <v>N/A</v>
      </c>
      <c r="AU111" s="23" t="str">
        <f t="shared" si="15"/>
        <v>N/A</v>
      </c>
      <c r="AV111" s="23" t="str">
        <f t="shared" si="15"/>
        <v>N/A</v>
      </c>
      <c r="AW111" s="23"/>
      <c r="AX111" s="23"/>
      <c r="AZ111" s="640"/>
    </row>
    <row r="112" spans="1:52" x14ac:dyDescent="0.25">
      <c r="A112" s="1076">
        <v>103</v>
      </c>
      <c r="B112" s="1075" t="s">
        <v>58</v>
      </c>
      <c r="C112" s="1082" t="str">
        <f t="shared" ref="C112:C114" si="18">C111</f>
        <v>Wat 03</v>
      </c>
      <c r="D112" s="824" t="s">
        <v>765</v>
      </c>
      <c r="E112" s="861" t="str">
        <f>VLOOKUP(D112,Poeng!$B$10:$R$252,Poeng!E$1,FALSE)</f>
        <v>Leak detection system</v>
      </c>
      <c r="F112" s="122">
        <f>VLOOKUP(D112,Poeng!$B$10:$AB$252,Poeng!AB$1,FALSE)</f>
        <v>1</v>
      </c>
      <c r="G112" s="43"/>
      <c r="H112" s="123">
        <f>VLOOKUP(D112,Poeng!$B$10:$AE$252,Poeng!AE$1,FALSE)</f>
        <v>0</v>
      </c>
      <c r="I112" s="124" t="str">
        <f>VLOOKUP(D112,Poeng!$B$10:$BE$252,Poeng!BE$1,FALSE)</f>
        <v>N/A</v>
      </c>
      <c r="J112" s="80"/>
      <c r="K112" s="281"/>
      <c r="L112" s="796"/>
      <c r="M112" s="816"/>
      <c r="N112" s="83"/>
      <c r="O112" s="123">
        <f>VLOOKUP(D112,Poeng!$B$10:$BC$252,Poeng!AF$1,FALSE)</f>
        <v>0</v>
      </c>
      <c r="P112" s="123" t="str">
        <f>VLOOKUP(D112,Poeng!$B$10:$BH$252,Poeng!BH$1,FALSE)</f>
        <v>N/A</v>
      </c>
      <c r="Q112" s="744"/>
      <c r="R112" s="745"/>
      <c r="S112" s="738"/>
      <c r="T112" s="319"/>
      <c r="U112" s="83"/>
      <c r="V112" s="123">
        <f>VLOOKUP(D112,Poeng!$B$10:$BC$252,Poeng!AG$1,FALSE)</f>
        <v>0</v>
      </c>
      <c r="W112" s="123" t="str">
        <f>VLOOKUP(D112,Poeng!$B$10:$BK$252,Poeng!BK$1,FALSE)</f>
        <v>N/A</v>
      </c>
      <c r="X112" s="81"/>
      <c r="Y112" s="80"/>
      <c r="Z112" s="738"/>
      <c r="AA112" s="133"/>
      <c r="AB112" s="640"/>
      <c r="AC112" s="107">
        <f t="shared" si="12"/>
        <v>1</v>
      </c>
      <c r="AD112" s="3" t="e">
        <f>VLOOKUP(K112,'Assessment Details'!$O$45:$P$48,2,FALSE)</f>
        <v>#N/A</v>
      </c>
      <c r="AE112" s="3" t="e">
        <f>VLOOKUP(R112,'Assessment Details'!$O$45:$P$48,2,FALSE)</f>
        <v>#N/A</v>
      </c>
      <c r="AF112" s="3" t="e">
        <f>VLOOKUP(Y112,'Assessment Details'!$O$45:$P$48,2,FALSE)</f>
        <v>#N/A</v>
      </c>
      <c r="AI112" s="70"/>
      <c r="AJ112" s="671"/>
      <c r="AK112" s="653"/>
      <c r="AL112" s="653"/>
      <c r="AM112" s="653"/>
      <c r="AN112" s="653"/>
      <c r="AO112" s="70"/>
      <c r="AP112" s="70"/>
      <c r="AS112" s="23"/>
      <c r="AT112" s="23"/>
      <c r="AU112" s="23"/>
      <c r="AV112" s="23"/>
      <c r="AW112" s="23"/>
      <c r="AX112" s="23"/>
      <c r="AZ112" s="640"/>
    </row>
    <row r="113" spans="1:52" x14ac:dyDescent="0.25">
      <c r="A113" s="1076">
        <v>104</v>
      </c>
      <c r="B113" s="1075" t="s">
        <v>58</v>
      </c>
      <c r="C113" s="1082" t="str">
        <f t="shared" si="18"/>
        <v>Wat 03</v>
      </c>
      <c r="D113" s="824" t="s">
        <v>766</v>
      </c>
      <c r="E113" s="861" t="str">
        <f>VLOOKUP(D113,Poeng!$B$10:$R$252,Poeng!E$1,FALSE)</f>
        <v>Flow control devices</v>
      </c>
      <c r="F113" s="122">
        <f>VLOOKUP(D113,Poeng!$B$10:$AB$252,Poeng!AB$1,FALSE)</f>
        <v>1</v>
      </c>
      <c r="G113" s="43"/>
      <c r="H113" s="123">
        <f>VLOOKUP(D113,Poeng!$B$10:$AE$252,Poeng!AE$1,FALSE)</f>
        <v>0</v>
      </c>
      <c r="I113" s="124" t="str">
        <f>VLOOKUP(D113,Poeng!$B$10:$BE$252,Poeng!BE$1,FALSE)</f>
        <v>N/A</v>
      </c>
      <c r="J113" s="80"/>
      <c r="K113" s="281"/>
      <c r="L113" s="796"/>
      <c r="M113" s="816"/>
      <c r="N113" s="83"/>
      <c r="O113" s="123">
        <f>VLOOKUP(D113,Poeng!$B$10:$BC$252,Poeng!AF$1,FALSE)</f>
        <v>0</v>
      </c>
      <c r="P113" s="123" t="str">
        <f>VLOOKUP(D113,Poeng!$B$10:$BH$252,Poeng!BH$1,FALSE)</f>
        <v>N/A</v>
      </c>
      <c r="Q113" s="744"/>
      <c r="R113" s="745"/>
      <c r="S113" s="738"/>
      <c r="T113" s="319"/>
      <c r="U113" s="83"/>
      <c r="V113" s="123">
        <f>VLOOKUP(D113,Poeng!$B$10:$BC$252,Poeng!AG$1,FALSE)</f>
        <v>0</v>
      </c>
      <c r="W113" s="123" t="str">
        <f>VLOOKUP(D113,Poeng!$B$10:$BK$252,Poeng!BK$1,FALSE)</f>
        <v>N/A</v>
      </c>
      <c r="X113" s="81"/>
      <c r="Y113" s="80"/>
      <c r="Z113" s="738"/>
      <c r="AA113" s="133"/>
      <c r="AB113" s="640"/>
      <c r="AC113" s="107">
        <f t="shared" si="12"/>
        <v>1</v>
      </c>
      <c r="AD113" s="3" t="e">
        <f>VLOOKUP(K113,'Assessment Details'!$O$45:$P$48,2,FALSE)</f>
        <v>#N/A</v>
      </c>
      <c r="AE113" s="3" t="e">
        <f>VLOOKUP(R113,'Assessment Details'!$O$45:$P$48,2,FALSE)</f>
        <v>#N/A</v>
      </c>
      <c r="AF113" s="3" t="e">
        <f>VLOOKUP(Y113,'Assessment Details'!$O$45:$P$48,2,FALSE)</f>
        <v>#N/A</v>
      </c>
      <c r="AI113" s="70"/>
      <c r="AJ113" s="671"/>
      <c r="AK113" s="653"/>
      <c r="AL113" s="653"/>
      <c r="AM113" s="653"/>
      <c r="AN113" s="653"/>
      <c r="AO113" s="70"/>
      <c r="AP113" s="70"/>
      <c r="AS113" s="23"/>
      <c r="AT113" s="23"/>
      <c r="AU113" s="23"/>
      <c r="AV113" s="23"/>
      <c r="AW113" s="23"/>
      <c r="AX113" s="23"/>
      <c r="AZ113" s="640"/>
    </row>
    <row r="114" spans="1:52" x14ac:dyDescent="0.25">
      <c r="A114" s="1076">
        <v>105</v>
      </c>
      <c r="B114" s="1075" t="s">
        <v>58</v>
      </c>
      <c r="C114" s="1082" t="str">
        <f t="shared" si="18"/>
        <v>Wat 03</v>
      </c>
      <c r="D114" s="824" t="s">
        <v>767</v>
      </c>
      <c r="E114" s="861" t="str">
        <f>VLOOKUP(D114,Poeng!$B$10:$R$252,Poeng!E$1,FALSE)</f>
        <v>Leak isolation</v>
      </c>
      <c r="F114" s="122">
        <f>VLOOKUP(D114,Poeng!$B$10:$AB$252,Poeng!AB$1,FALSE)</f>
        <v>0</v>
      </c>
      <c r="G114" s="43"/>
      <c r="H114" s="123">
        <f>VLOOKUP(D114,Poeng!$B$10:$AE$252,Poeng!AE$1,FALSE)</f>
        <v>0</v>
      </c>
      <c r="I114" s="124" t="str">
        <f>VLOOKUP(D114,Poeng!$B$10:$BE$252,Poeng!BE$1,FALSE)</f>
        <v>N/A</v>
      </c>
      <c r="J114" s="80"/>
      <c r="K114" s="281"/>
      <c r="L114" s="796"/>
      <c r="M114" s="816"/>
      <c r="N114" s="83"/>
      <c r="O114" s="123">
        <f>VLOOKUP(D114,Poeng!$B$10:$BC$252,Poeng!AF$1,FALSE)</f>
        <v>0</v>
      </c>
      <c r="P114" s="123" t="str">
        <f>VLOOKUP(D114,Poeng!$B$10:$BH$252,Poeng!BH$1,FALSE)</f>
        <v>N/A</v>
      </c>
      <c r="Q114" s="744"/>
      <c r="R114" s="745"/>
      <c r="S114" s="738"/>
      <c r="T114" s="319"/>
      <c r="U114" s="83"/>
      <c r="V114" s="123">
        <f>VLOOKUP(D114,Poeng!$B$10:$BC$252,Poeng!AG$1,FALSE)</f>
        <v>0</v>
      </c>
      <c r="W114" s="123" t="str">
        <f>VLOOKUP(D114,Poeng!$B$10:$BK$252,Poeng!BK$1,FALSE)</f>
        <v>N/A</v>
      </c>
      <c r="X114" s="81"/>
      <c r="Y114" s="80"/>
      <c r="Z114" s="1095"/>
      <c r="AA114" s="133"/>
      <c r="AB114" s="640"/>
      <c r="AC114" s="107">
        <f t="shared" si="12"/>
        <v>2</v>
      </c>
      <c r="AD114" s="3" t="e">
        <f>VLOOKUP(K114,'Assessment Details'!$O$45:$P$48,2,FALSE)</f>
        <v>#N/A</v>
      </c>
      <c r="AE114" s="3" t="e">
        <f>VLOOKUP(R114,'Assessment Details'!$O$45:$P$48,2,FALSE)</f>
        <v>#N/A</v>
      </c>
      <c r="AF114" s="3" t="e">
        <f>VLOOKUP(Y114,'Assessment Details'!$O$45:$P$48,2,FALSE)</f>
        <v>#N/A</v>
      </c>
      <c r="AI114" s="70"/>
      <c r="AJ114" s="671"/>
      <c r="AK114" s="653"/>
      <c r="AL114" s="653"/>
      <c r="AM114" s="653"/>
      <c r="AN114" s="653"/>
      <c r="AO114" s="70"/>
      <c r="AP114" s="70"/>
      <c r="AS114" s="23"/>
      <c r="AT114" s="23"/>
      <c r="AU114" s="23"/>
      <c r="AV114" s="23"/>
      <c r="AW114" s="23"/>
      <c r="AX114" s="23"/>
      <c r="AZ114" s="640"/>
    </row>
    <row r="115" spans="1:52" x14ac:dyDescent="0.25">
      <c r="A115" s="1076">
        <v>106</v>
      </c>
      <c r="B115" s="1075" t="s">
        <v>58</v>
      </c>
      <c r="C115" s="924" t="s">
        <v>171</v>
      </c>
      <c r="D115" s="824" t="s">
        <v>171</v>
      </c>
      <c r="E115" s="860" t="str">
        <f>VLOOKUP(D115,Poeng!$B$10:$R$252,Poeng!E$1,FALSE)</f>
        <v>Wat 04 Water efficient equipment</v>
      </c>
      <c r="F115" s="865">
        <f>VLOOKUP(D115,Poeng!$B$10:$AB$252,Poeng!AB$1,FALSE)</f>
        <v>1</v>
      </c>
      <c r="G115" s="1001"/>
      <c r="H115" s="866" t="str">
        <f>VLOOKUP(D115,Poeng!$B$10:$AI$252,Poeng!AI$1,FALSE)&amp;" c. "&amp;ROUND(VLOOKUP(D115,Poeng!$B$10:$AE$252,Poeng!AE$1,FALSE)*100,1)&amp;" %"</f>
        <v>0 c. 0 %</v>
      </c>
      <c r="I115" s="924" t="str">
        <f>VLOOKUP(D115,Poeng!$B$10:$BE$252,Poeng!BE$1,FALSE)</f>
        <v>N/A</v>
      </c>
      <c r="J115" s="80"/>
      <c r="K115" s="281"/>
      <c r="L115" s="796"/>
      <c r="M115" s="816"/>
      <c r="N115" s="1001"/>
      <c r="O115" s="877" t="str">
        <f>VLOOKUP(D115,Poeng!$B$10:$BC$252,Poeng!AJ$1,FALSE)&amp;" c. "&amp;ROUND(VLOOKUP(D115,Poeng!$B$10:$BC$252,Poeng!AF$1,FALSE)*100,1)&amp;" %"</f>
        <v>0 c. 0 %</v>
      </c>
      <c r="P115" s="123" t="str">
        <f>VLOOKUP(D115,Poeng!$B$10:$BH$252,Poeng!BH$1,FALSE)</f>
        <v>N/A</v>
      </c>
      <c r="Q115" s="744"/>
      <c r="R115" s="745"/>
      <c r="S115" s="738"/>
      <c r="T115" s="319"/>
      <c r="U115" s="1001"/>
      <c r="V115" s="877" t="str">
        <f>VLOOKUP(D115,Poeng!$B$10:$BC$252,Poeng!AK$1,FALSE)&amp;" c. "&amp;ROUND(VLOOKUP(D115,Poeng!$B$10:$BC$252,Poeng!AG$1,FALSE)*100,1)&amp;" %"</f>
        <v>0 c. 0 %</v>
      </c>
      <c r="W115" s="123" t="str">
        <f>VLOOKUP(D115,Poeng!$B$10:$BK$252,Poeng!BK$1,FALSE)</f>
        <v>N/A</v>
      </c>
      <c r="X115" s="81"/>
      <c r="Y115" s="80"/>
      <c r="Z115" s="738"/>
      <c r="AA115" s="133"/>
      <c r="AB115" s="640" t="s">
        <v>14</v>
      </c>
      <c r="AC115" s="107">
        <f t="shared" si="12"/>
        <v>1</v>
      </c>
      <c r="AD115" s="3" t="e">
        <f>VLOOKUP(K115,'Assessment Details'!$O$45:$P$48,2,FALSE)</f>
        <v>#N/A</v>
      </c>
      <c r="AE115" s="3" t="e">
        <f>VLOOKUP(R115,'Assessment Details'!$O$45:$P$48,2,FALSE)</f>
        <v>#N/A</v>
      </c>
      <c r="AF115" s="3" t="e">
        <f>VLOOKUP(Y115,'Assessment Details'!$O$45:$P$48,2,FALSE)</f>
        <v>#N/A</v>
      </c>
      <c r="AI115" s="70"/>
      <c r="AJ115" s="671" t="s">
        <v>154</v>
      </c>
      <c r="AK115" s="70"/>
      <c r="AL115" s="70"/>
      <c r="AM115" s="70"/>
      <c r="AN115" s="70"/>
      <c r="AO115" s="70"/>
      <c r="AP115" s="70"/>
      <c r="AS115" s="23" t="str">
        <f t="shared" si="13"/>
        <v>N/A</v>
      </c>
      <c r="AT115" s="23" t="str">
        <f t="shared" si="14"/>
        <v>N/A</v>
      </c>
      <c r="AU115" s="23" t="str">
        <f t="shared" si="15"/>
        <v>N/A</v>
      </c>
      <c r="AV115" s="23"/>
      <c r="AW115" s="23"/>
      <c r="AX115" s="23"/>
      <c r="AZ115" s="640"/>
    </row>
    <row r="116" spans="1:52" x14ac:dyDescent="0.25">
      <c r="A116" s="1076">
        <v>107</v>
      </c>
      <c r="B116" s="1075" t="s">
        <v>58</v>
      </c>
      <c r="C116" s="1082" t="str">
        <f t="shared" ref="C116:C210" si="19">C115</f>
        <v>Wat 04</v>
      </c>
      <c r="D116" s="824" t="s">
        <v>768</v>
      </c>
      <c r="E116" s="861" t="str">
        <f>VLOOKUP(D116,Poeng!$B$10:$R$252,Poeng!E$1,FALSE)</f>
        <v>Water efficient equipment</v>
      </c>
      <c r="F116" s="122">
        <f>VLOOKUP(D116,Poeng!$B$10:$AB$252,Poeng!AB$1,FALSE)</f>
        <v>1</v>
      </c>
      <c r="G116" s="43"/>
      <c r="H116" s="123">
        <f>VLOOKUP(D116,Poeng!$B$10:$AE$252,Poeng!AE$1,FALSE)</f>
        <v>0</v>
      </c>
      <c r="I116" s="124" t="str">
        <f>VLOOKUP(D116,Poeng!$B$10:$BE$252,Poeng!BE$1,FALSE)</f>
        <v>N/A</v>
      </c>
      <c r="J116" s="80"/>
      <c r="K116" s="281"/>
      <c r="L116" s="796"/>
      <c r="M116" s="816"/>
      <c r="N116" s="83"/>
      <c r="O116" s="123">
        <f>VLOOKUP(D116,Poeng!$B$10:$BC$252,Poeng!AF$1,FALSE)</f>
        <v>0</v>
      </c>
      <c r="P116" s="123" t="str">
        <f>VLOOKUP(D116,Poeng!$B$10:$BH$252,Poeng!BH$1,FALSE)</f>
        <v>N/A</v>
      </c>
      <c r="Q116" s="744"/>
      <c r="R116" s="745"/>
      <c r="S116" s="738"/>
      <c r="T116" s="319"/>
      <c r="U116" s="83"/>
      <c r="V116" s="123">
        <f>VLOOKUP(D116,Poeng!$B$10:$BC$252,Poeng!AG$1,FALSE)</f>
        <v>0</v>
      </c>
      <c r="W116" s="123" t="str">
        <f>VLOOKUP(D116,Poeng!$B$10:$BK$252,Poeng!BK$1,FALSE)</f>
        <v>N/A</v>
      </c>
      <c r="X116" s="81"/>
      <c r="Y116" s="80"/>
      <c r="Z116" s="738"/>
      <c r="AA116" s="133"/>
      <c r="AB116" s="714"/>
      <c r="AC116" s="107">
        <f t="shared" si="12"/>
        <v>1</v>
      </c>
      <c r="AD116" s="3" t="e">
        <f>VLOOKUP(K116,'Assessment Details'!$O$45:$P$48,2,FALSE)</f>
        <v>#N/A</v>
      </c>
      <c r="AE116" s="3" t="e">
        <f>VLOOKUP(R116,'Assessment Details'!$O$45:$P$48,2,FALSE)</f>
        <v>#N/A</v>
      </c>
      <c r="AF116" s="3" t="e">
        <f>VLOOKUP(Y116,'Assessment Details'!$O$45:$P$48,2,FALSE)</f>
        <v>#N/A</v>
      </c>
      <c r="AI116" s="70"/>
      <c r="AJ116" s="671"/>
      <c r="AK116" s="70"/>
      <c r="AL116" s="70"/>
      <c r="AM116" s="70"/>
      <c r="AN116" s="70"/>
      <c r="AO116" s="70"/>
      <c r="AP116" s="70"/>
      <c r="AS116" s="23"/>
      <c r="AT116" s="23"/>
      <c r="AU116" s="23"/>
      <c r="AV116" s="23"/>
      <c r="AW116" s="23"/>
      <c r="AX116" s="23"/>
      <c r="AZ116" s="714"/>
    </row>
    <row r="117" spans="1:52" ht="15.75" thickBot="1" x14ac:dyDescent="0.3">
      <c r="A117" s="1076">
        <v>108</v>
      </c>
      <c r="B117" s="1075" t="s">
        <v>58</v>
      </c>
      <c r="C117" s="1083"/>
      <c r="D117" s="824" t="s">
        <v>885</v>
      </c>
      <c r="E117" s="320" t="s">
        <v>106</v>
      </c>
      <c r="F117" s="125">
        <f>Wat_Credits</f>
        <v>9</v>
      </c>
      <c r="G117" s="131"/>
      <c r="H117" s="126">
        <f>Wat_cont_tot</f>
        <v>0</v>
      </c>
      <c r="I117" s="867" t="str">
        <f>"Credits achieved: "&amp;Wat_tot_user</f>
        <v>Credits achieved: 0</v>
      </c>
      <c r="J117" s="134"/>
      <c r="K117" s="282"/>
      <c r="L117" s="746"/>
      <c r="M117" s="816"/>
      <c r="N117" s="383"/>
      <c r="O117" s="126">
        <f>VLOOKUP(D117,Poeng!$B$10:$BC$252,Poeng!AF$1,FALSE)</f>
        <v>0</v>
      </c>
      <c r="P117" s="867" t="str">
        <f>"Credits achieved: "&amp;Wat_d_user</f>
        <v>Credits achieved: 0</v>
      </c>
      <c r="Q117" s="747"/>
      <c r="R117" s="748"/>
      <c r="S117" s="746"/>
      <c r="T117" s="319"/>
      <c r="U117" s="383"/>
      <c r="V117" s="126">
        <f>VLOOKUP(D117,Poeng!$B$10:$BC$252,Poeng!AG$1,FALSE)</f>
        <v>0</v>
      </c>
      <c r="W117" s="867" t="str">
        <f>"Credits achieved: "&amp;Wat_c_user</f>
        <v>Credits achieved: 0</v>
      </c>
      <c r="X117" s="382"/>
      <c r="Y117" s="136"/>
      <c r="Z117" s="746"/>
      <c r="AA117" s="133"/>
      <c r="AB117" s="641"/>
      <c r="AC117" s="107">
        <f t="shared" si="12"/>
        <v>1</v>
      </c>
      <c r="AD117" s="276">
        <v>0</v>
      </c>
      <c r="AE117" s="276">
        <v>0</v>
      </c>
      <c r="AF117" s="276">
        <v>0</v>
      </c>
      <c r="AI117" s="70"/>
      <c r="AJ117" s="671" t="s">
        <v>106</v>
      </c>
      <c r="AK117" s="70"/>
      <c r="AL117" s="70"/>
      <c r="AM117" s="70"/>
      <c r="AN117" s="70"/>
      <c r="AO117" s="70"/>
      <c r="AP117" s="70"/>
      <c r="AS117" s="23" t="str">
        <f t="shared" si="13"/>
        <v>N/A</v>
      </c>
      <c r="AT117" s="23" t="str">
        <f t="shared" si="14"/>
        <v>N/A</v>
      </c>
      <c r="AU117" s="23" t="str">
        <f t="shared" si="15"/>
        <v>N/A</v>
      </c>
      <c r="AV117" s="23"/>
      <c r="AW117" s="23"/>
      <c r="AX117" s="23"/>
      <c r="AZ117" s="641"/>
    </row>
    <row r="118" spans="1:52" x14ac:dyDescent="0.25">
      <c r="A118" s="1076">
        <v>109</v>
      </c>
      <c r="B118" s="1075" t="s">
        <v>58</v>
      </c>
      <c r="C118" s="322"/>
      <c r="D118" s="824"/>
      <c r="E118" s="321"/>
      <c r="F118" s="322"/>
      <c r="G118" s="323"/>
      <c r="H118" s="322"/>
      <c r="I118" s="322"/>
      <c r="J118" s="324"/>
      <c r="K118" s="323"/>
      <c r="L118" s="749"/>
      <c r="M118" s="815"/>
      <c r="N118" s="325"/>
      <c r="O118" s="325"/>
      <c r="P118" s="749"/>
      <c r="Q118" s="749"/>
      <c r="R118" s="750"/>
      <c r="S118" s="1094"/>
      <c r="T118" s="326"/>
      <c r="U118" s="325"/>
      <c r="V118" s="325"/>
      <c r="W118" s="749"/>
      <c r="X118" s="324"/>
      <c r="Y118" s="325"/>
      <c r="Z118" s="1094"/>
      <c r="AA118" s="699"/>
      <c r="AB118" s="324"/>
      <c r="AC118" s="107">
        <f t="shared" si="12"/>
        <v>1</v>
      </c>
      <c r="AD118" s="278">
        <v>0</v>
      </c>
      <c r="AE118" s="278">
        <v>0</v>
      </c>
      <c r="AF118" s="278">
        <v>0</v>
      </c>
      <c r="AI118" s="70"/>
      <c r="AJ118" s="671"/>
      <c r="AK118" s="70"/>
      <c r="AL118" s="70"/>
      <c r="AM118" s="70"/>
      <c r="AN118" s="70"/>
      <c r="AO118" s="70"/>
      <c r="AP118" s="70"/>
      <c r="AS118" s="23" t="str">
        <f t="shared" si="13"/>
        <v>N/A</v>
      </c>
      <c r="AT118" s="23" t="str">
        <f t="shared" si="14"/>
        <v>N/A</v>
      </c>
      <c r="AU118" s="23" t="str">
        <f t="shared" si="15"/>
        <v>N/A</v>
      </c>
      <c r="AV118" s="23"/>
      <c r="AW118" s="23"/>
      <c r="AX118" s="23"/>
      <c r="AZ118" s="324"/>
    </row>
    <row r="119" spans="1:52" ht="18.75" x14ac:dyDescent="0.25">
      <c r="A119" s="1076">
        <v>110</v>
      </c>
      <c r="B119" s="1077" t="s">
        <v>67</v>
      </c>
      <c r="C119" s="1084"/>
      <c r="D119" s="824"/>
      <c r="E119" s="327" t="s">
        <v>54</v>
      </c>
      <c r="F119" s="315"/>
      <c r="G119" s="316"/>
      <c r="H119" s="336"/>
      <c r="I119" s="315"/>
      <c r="J119" s="328"/>
      <c r="K119" s="329"/>
      <c r="L119" s="752"/>
      <c r="M119" s="816"/>
      <c r="N119" s="339"/>
      <c r="O119" s="332"/>
      <c r="P119" s="742"/>
      <c r="Q119" s="753"/>
      <c r="R119" s="754"/>
      <c r="S119" s="755"/>
      <c r="T119" s="319"/>
      <c r="U119" s="339"/>
      <c r="V119" s="338"/>
      <c r="W119" s="742"/>
      <c r="X119" s="328"/>
      <c r="Y119" s="338"/>
      <c r="Z119" s="752"/>
      <c r="AA119" s="133"/>
      <c r="AB119" s="337"/>
      <c r="AC119" s="107">
        <f t="shared" si="12"/>
        <v>1</v>
      </c>
      <c r="AD119" s="275">
        <v>0</v>
      </c>
      <c r="AE119" s="275">
        <v>0</v>
      </c>
      <c r="AF119" s="275">
        <v>0</v>
      </c>
      <c r="AI119" s="70"/>
      <c r="AJ119" s="671" t="s">
        <v>54</v>
      </c>
      <c r="AK119" s="70"/>
      <c r="AL119" s="70"/>
      <c r="AM119" s="70"/>
      <c r="AN119" s="70"/>
      <c r="AO119" s="70"/>
      <c r="AP119" s="70"/>
      <c r="AS119" s="23" t="str">
        <f t="shared" si="13"/>
        <v>N/A</v>
      </c>
      <c r="AT119" s="23" t="str">
        <f t="shared" si="14"/>
        <v>N/A</v>
      </c>
      <c r="AU119" s="23" t="str">
        <f t="shared" si="15"/>
        <v>N/A</v>
      </c>
      <c r="AV119" s="23"/>
      <c r="AW119" s="23"/>
      <c r="AX119" s="23"/>
      <c r="AZ119" s="337"/>
    </row>
    <row r="120" spans="1:52" ht="30" x14ac:dyDescent="0.25">
      <c r="A120" s="1076">
        <v>111</v>
      </c>
      <c r="B120" s="1077" t="s">
        <v>67</v>
      </c>
      <c r="C120" s="1088" t="s">
        <v>172</v>
      </c>
      <c r="D120" s="824" t="s">
        <v>172</v>
      </c>
      <c r="E120" s="979" t="str">
        <f>VLOOKUP(D120,Poeng!$B$10:$R$252,Poeng!E$1,FALSE)</f>
        <v>Mat 01 Environmental impacts from construction products - Building life cycle assessment (LCA)</v>
      </c>
      <c r="F120" s="865">
        <f>VLOOKUP(D120,Poeng!$B$10:$AB$252,Poeng!AB$1,FALSE)</f>
        <v>5</v>
      </c>
      <c r="G120" s="1000"/>
      <c r="H120" s="866" t="str">
        <f>VLOOKUP(D120,Poeng!$B$10:$AI$252,Poeng!AI$1,FALSE)&amp;" c. "&amp;ROUND(VLOOKUP(D120,Poeng!$B$10:$AE$252,Poeng!AE$1,FALSE)*100,1)&amp;" %"</f>
        <v>0 c. 0 %</v>
      </c>
      <c r="I120" s="923" t="str">
        <f>VLOOKUP(D120,Poeng!$B$10:$BE$252,Poeng!BE$1,FALSE)</f>
        <v>N/A</v>
      </c>
      <c r="J120" s="874"/>
      <c r="K120" s="875"/>
      <c r="L120" s="876"/>
      <c r="M120" s="815"/>
      <c r="N120" s="1001"/>
      <c r="O120" s="1093" t="str">
        <f>VLOOKUP(D120,Poeng!$B$10:$BC$252,Poeng!AJ$1,FALSE)&amp;" c. "&amp;ROUND(VLOOKUP(D120,Poeng!$B$10:$BC$252,Poeng!AF$1,FALSE)*100,1)&amp;" %"</f>
        <v>0 c. 0 %</v>
      </c>
      <c r="P120" s="123" t="str">
        <f>VLOOKUP(D120,Poeng!$B$10:$BH$252,Poeng!BH$1,FALSE)</f>
        <v>N/A</v>
      </c>
      <c r="Q120" s="744"/>
      <c r="R120" s="745"/>
      <c r="S120" s="738"/>
      <c r="T120" s="319"/>
      <c r="U120" s="1001"/>
      <c r="V120" s="877" t="str">
        <f>VLOOKUP(D120,Poeng!$B$10:$BC$252,Poeng!AK$1,FALSE)&amp;" c. "&amp;ROUND(VLOOKUP(D120,Poeng!$B$10:$BC$252,Poeng!AG$1,FALSE)*100,1)&amp;" %"</f>
        <v>0 c. 0 %</v>
      </c>
      <c r="W120" s="123" t="str">
        <f>VLOOKUP(D120,Poeng!$B$10:$BK$252,Poeng!BK$1,FALSE)</f>
        <v>N/A</v>
      </c>
      <c r="X120" s="81"/>
      <c r="Y120" s="80"/>
      <c r="Z120" s="738"/>
      <c r="AA120" s="133"/>
      <c r="AB120" s="640" t="s">
        <v>14</v>
      </c>
      <c r="AC120" s="107">
        <f t="shared" si="12"/>
        <v>1</v>
      </c>
      <c r="AD120" s="3" t="e">
        <f>VLOOKUP(K120,'Assessment Details'!$O$45:$P$48,2,FALSE)</f>
        <v>#N/A</v>
      </c>
      <c r="AE120" s="3" t="e">
        <f>VLOOKUP(R120,'Assessment Details'!$O$45:$P$48,2,FALSE)</f>
        <v>#N/A</v>
      </c>
      <c r="AF120" s="3" t="e">
        <f>VLOOKUP(Y120,'Assessment Details'!$O$45:$P$48,2,FALSE)</f>
        <v>#N/A</v>
      </c>
      <c r="AI120" s="70"/>
      <c r="AJ120" s="671" t="s">
        <v>155</v>
      </c>
      <c r="AK120" s="70"/>
      <c r="AL120" s="70"/>
      <c r="AM120" s="70"/>
      <c r="AN120" s="70"/>
      <c r="AO120" s="70"/>
      <c r="AP120" s="70"/>
      <c r="AS120" s="23" t="str">
        <f t="shared" si="13"/>
        <v>N/A</v>
      </c>
      <c r="AT120" s="23" t="str">
        <f t="shared" si="14"/>
        <v>N/A</v>
      </c>
      <c r="AU120" s="23" t="str">
        <f t="shared" si="15"/>
        <v>N/A</v>
      </c>
      <c r="AV120" s="23"/>
      <c r="AW120" s="23"/>
      <c r="AX120" s="23"/>
      <c r="AZ120" s="640"/>
    </row>
    <row r="121" spans="1:52" x14ac:dyDescent="0.25">
      <c r="A121" s="1076">
        <v>112</v>
      </c>
      <c r="B121" s="1077" t="s">
        <v>67</v>
      </c>
      <c r="C121" s="1082" t="str">
        <f t="shared" si="19"/>
        <v>Mat 01</v>
      </c>
      <c r="D121" s="824" t="s">
        <v>769</v>
      </c>
      <c r="E121" s="861" t="str">
        <f>VLOOKUP(D121,Poeng!$B$10:$R$252,Poeng!E$1,FALSE)</f>
        <v>Pre-requisite: early stage greenhouse gas calculation</v>
      </c>
      <c r="F121" s="122" t="str">
        <f>VLOOKUP(D121,Poeng!$B$10:$AB$252,Poeng!AB$1,FALSE)</f>
        <v>Yes/No</v>
      </c>
      <c r="G121" s="43"/>
      <c r="H121" s="123" t="str">
        <f>VLOOKUP(D121,Poeng!$B$10:$AE$252,Poeng!AE$1,FALSE)</f>
        <v>-</v>
      </c>
      <c r="I121" s="124" t="str">
        <f>VLOOKUP(D121,Poeng!$B$10:$BE$252,Poeng!BE$1,FALSE)</f>
        <v>Unclassified</v>
      </c>
      <c r="J121" s="80"/>
      <c r="K121" s="281"/>
      <c r="L121" s="796"/>
      <c r="M121" s="816"/>
      <c r="N121" s="83"/>
      <c r="O121" s="123" t="str">
        <f>VLOOKUP(D121,Poeng!$B$10:$BC$252,Poeng!AF$1,FALSE)</f>
        <v>-</v>
      </c>
      <c r="P121" s="123" t="str">
        <f>VLOOKUP(D121,Poeng!$B$10:$BH$252,Poeng!BH$1,FALSE)</f>
        <v>Unclassified</v>
      </c>
      <c r="Q121" s="744"/>
      <c r="R121" s="745"/>
      <c r="S121" s="738"/>
      <c r="T121" s="319"/>
      <c r="U121" s="83"/>
      <c r="V121" s="123" t="str">
        <f>VLOOKUP(D121,Poeng!$B$10:$BC$252,Poeng!AG$1,FALSE)</f>
        <v>-</v>
      </c>
      <c r="W121" s="123" t="str">
        <f>VLOOKUP(D121,Poeng!$B$10:$BK$252,Poeng!BK$1,FALSE)</f>
        <v>Unclassified</v>
      </c>
      <c r="X121" s="81"/>
      <c r="Y121" s="80"/>
      <c r="Z121" s="738"/>
      <c r="AA121" s="133"/>
      <c r="AB121" s="864"/>
      <c r="AC121" s="107">
        <f t="shared" si="12"/>
        <v>1</v>
      </c>
      <c r="AD121" s="3" t="e">
        <f>VLOOKUP(K121,'Assessment Details'!$O$45:$P$48,2,FALSE)</f>
        <v>#N/A</v>
      </c>
      <c r="AE121" s="3" t="e">
        <f>VLOOKUP(R121,'Assessment Details'!$O$45:$P$48,2,FALSE)</f>
        <v>#N/A</v>
      </c>
      <c r="AF121" s="3" t="e">
        <f>VLOOKUP(Y121,'Assessment Details'!$O$45:$P$48,2,FALSE)</f>
        <v>#N/A</v>
      </c>
      <c r="AI121" s="3"/>
      <c r="AJ121" s="3"/>
      <c r="AK121" s="3"/>
      <c r="AL121" s="3"/>
      <c r="AM121" s="3"/>
      <c r="AN121" s="3"/>
      <c r="AO121" s="3"/>
      <c r="AP121" s="3"/>
      <c r="AS121" s="23"/>
      <c r="AT121" s="23"/>
      <c r="AU121" s="23"/>
      <c r="AV121" s="23"/>
      <c r="AW121" s="23"/>
      <c r="AX121" s="23"/>
      <c r="AZ121" s="864"/>
    </row>
    <row r="122" spans="1:52" x14ac:dyDescent="0.25">
      <c r="A122" s="1076">
        <v>113</v>
      </c>
      <c r="B122" s="1077" t="s">
        <v>67</v>
      </c>
      <c r="C122" s="1082" t="str">
        <f t="shared" si="19"/>
        <v>Mat 01</v>
      </c>
      <c r="D122" s="824" t="s">
        <v>770</v>
      </c>
      <c r="E122" s="861" t="str">
        <f>VLOOKUP(D122,Poeng!$B$10:$R$252,Poeng!E$1,FALSE)</f>
        <v>Reduction of greenhouse gas emissions</v>
      </c>
      <c r="F122" s="122">
        <f>VLOOKUP(D122,Poeng!$B$10:$AB$252,Poeng!AB$1,FALSE)</f>
        <v>3</v>
      </c>
      <c r="G122" s="43"/>
      <c r="H122" s="123">
        <f>VLOOKUP(D122,Poeng!$B$10:$AE$252,Poeng!AE$1,FALSE)</f>
        <v>0</v>
      </c>
      <c r="I122" s="124" t="str">
        <f>VLOOKUP(D122,Poeng!$B$10:$BE$252,Poeng!BE$1,FALSE)</f>
        <v>Good</v>
      </c>
      <c r="J122" s="80"/>
      <c r="K122" s="281"/>
      <c r="L122" s="796"/>
      <c r="M122" s="816"/>
      <c r="N122" s="83"/>
      <c r="O122" s="123">
        <f>VLOOKUP(D122,Poeng!$B$10:$BC$252,Poeng!AF$1,FALSE)</f>
        <v>0</v>
      </c>
      <c r="P122" s="123" t="str">
        <f>VLOOKUP(D122,Poeng!$B$10:$BH$252,Poeng!BH$1,FALSE)</f>
        <v>Good</v>
      </c>
      <c r="Q122" s="744"/>
      <c r="R122" s="745"/>
      <c r="S122" s="738"/>
      <c r="T122" s="319"/>
      <c r="U122" s="83"/>
      <c r="V122" s="123">
        <f>VLOOKUP(D122,Poeng!$B$10:$BC$252,Poeng!AG$1,FALSE)</f>
        <v>0</v>
      </c>
      <c r="W122" s="123" t="str">
        <f>VLOOKUP(D122,Poeng!$B$10:$BK$252,Poeng!BK$1,FALSE)</f>
        <v>Good</v>
      </c>
      <c r="X122" s="81"/>
      <c r="Y122" s="80"/>
      <c r="Z122" s="738"/>
      <c r="AA122" s="133"/>
      <c r="AB122" s="864"/>
      <c r="AC122" s="107">
        <f t="shared" si="12"/>
        <v>1</v>
      </c>
      <c r="AD122" s="3" t="e">
        <f>VLOOKUP(K122,'Assessment Details'!$O$45:$P$48,2,FALSE)</f>
        <v>#N/A</v>
      </c>
      <c r="AE122" s="3" t="e">
        <f>VLOOKUP(R122,'Assessment Details'!$O$45:$P$48,2,FALSE)</f>
        <v>#N/A</v>
      </c>
      <c r="AF122" s="3" t="e">
        <f>VLOOKUP(Y122,'Assessment Details'!$O$45:$P$48,2,FALSE)</f>
        <v>#N/A</v>
      </c>
      <c r="AI122" s="3"/>
      <c r="AJ122" s="3"/>
      <c r="AK122" s="3"/>
      <c r="AL122" s="3"/>
      <c r="AM122" s="3"/>
      <c r="AN122" s="3"/>
      <c r="AO122" s="3"/>
      <c r="AP122" s="3"/>
      <c r="AS122" s="23"/>
      <c r="AT122" s="23"/>
      <c r="AU122" s="23"/>
      <c r="AV122" s="23"/>
      <c r="AW122" s="23"/>
      <c r="AX122" s="23"/>
      <c r="AZ122" s="864"/>
    </row>
    <row r="123" spans="1:52" x14ac:dyDescent="0.25">
      <c r="A123" s="1076">
        <v>114</v>
      </c>
      <c r="B123" s="1077" t="s">
        <v>67</v>
      </c>
      <c r="C123" s="1082" t="str">
        <f t="shared" si="19"/>
        <v>Mat 01</v>
      </c>
      <c r="D123" s="19" t="s">
        <v>771</v>
      </c>
      <c r="E123" s="861" t="str">
        <f>VLOOKUP(D123,Poeng!$B$10:$R$252,Poeng!E$1,FALSE)</f>
        <v>Life cycle assessment of the building</v>
      </c>
      <c r="F123" s="122">
        <f>VLOOKUP(D123,Poeng!$B$10:$AB$252,Poeng!AB$1,FALSE)</f>
        <v>2</v>
      </c>
      <c r="G123" s="43"/>
      <c r="H123" s="123">
        <f>VLOOKUP(D123,Poeng!$B$10:$AE$252,Poeng!AE$1,FALSE)</f>
        <v>0</v>
      </c>
      <c r="I123" s="124" t="str">
        <f>VLOOKUP(D123,Poeng!$B$10:$BE$252,Poeng!BE$1,FALSE)</f>
        <v>N/A</v>
      </c>
      <c r="J123" s="80"/>
      <c r="K123" s="281"/>
      <c r="L123" s="796"/>
      <c r="M123" s="816"/>
      <c r="N123" s="83"/>
      <c r="O123" s="123">
        <f>VLOOKUP(D123,Poeng!$B$10:$BC$252,Poeng!AF$1,FALSE)</f>
        <v>0</v>
      </c>
      <c r="P123" s="123" t="str">
        <f>VLOOKUP(D123,Poeng!$B$10:$BH$252,Poeng!BH$1,FALSE)</f>
        <v>N/A</v>
      </c>
      <c r="Q123" s="744"/>
      <c r="R123" s="745"/>
      <c r="S123" s="738"/>
      <c r="T123" s="319"/>
      <c r="U123" s="83"/>
      <c r="V123" s="123">
        <f>VLOOKUP(D123,Poeng!$B$10:$BC$252,Poeng!AG$1,FALSE)</f>
        <v>0</v>
      </c>
      <c r="W123" s="123" t="str">
        <f>VLOOKUP(D123,Poeng!$B$10:$BK$252,Poeng!BK$1,FALSE)</f>
        <v>N/A</v>
      </c>
      <c r="X123" s="81"/>
      <c r="Y123" s="80"/>
      <c r="Z123" s="738"/>
      <c r="AC123" s="107">
        <f t="shared" si="12"/>
        <v>1</v>
      </c>
      <c r="AD123" s="3" t="e">
        <f>VLOOKUP(K123,'Assessment Details'!$O$45:$P$48,2,FALSE)</f>
        <v>#N/A</v>
      </c>
      <c r="AE123" s="3" t="e">
        <f>VLOOKUP(R123,'Assessment Details'!$O$45:$P$48,2,FALSE)</f>
        <v>#N/A</v>
      </c>
      <c r="AF123" s="3" t="e">
        <f>VLOOKUP(Y123,'Assessment Details'!$O$45:$P$48,2,FALSE)</f>
        <v>#N/A</v>
      </c>
    </row>
    <row r="124" spans="1:52" ht="15" customHeight="1" x14ac:dyDescent="0.25">
      <c r="A124" s="1076">
        <v>115</v>
      </c>
      <c r="B124" s="1077" t="s">
        <v>67</v>
      </c>
      <c r="C124" s="1088" t="s">
        <v>477</v>
      </c>
      <c r="D124" s="824" t="s">
        <v>477</v>
      </c>
      <c r="E124" s="979" t="str">
        <f>VLOOKUP(D124,Poeng!$B$10:$R$259,Poeng!E$1,FALSE)</f>
        <v>Mat 02 Environmental impacts from construction products - product requirements</v>
      </c>
      <c r="F124" s="865">
        <f>VLOOKUP(D124,Poeng!$B$10:$AB$259,Poeng!AB$1,FALSE)</f>
        <v>3</v>
      </c>
      <c r="G124" s="1001"/>
      <c r="H124" s="866" t="str">
        <f>VLOOKUP(D124,Poeng!$B$10:$AI$259,Poeng!AI$1,FALSE)&amp;" c. "&amp;ROUND(VLOOKUP(D124,Poeng!$B$10:$AE$259,Poeng!AE$1,FALSE)*100,1)&amp;" %"</f>
        <v>0 c. 0 %</v>
      </c>
      <c r="I124" s="924" t="str">
        <f>VLOOKUP(D124,Poeng!$B$10:$BE$259,Poeng!BE$1,FALSE)</f>
        <v>N/A</v>
      </c>
      <c r="J124" s="80"/>
      <c r="K124" s="281"/>
      <c r="L124" s="796"/>
      <c r="M124" s="816"/>
      <c r="N124" s="1001"/>
      <c r="O124" s="877" t="str">
        <f>VLOOKUP(D124,Poeng!$B$10:$BC$259,Poeng!AJ$1,FALSE)&amp;" c. "&amp;ROUND(VLOOKUP(D124,Poeng!$B$10:$BC$259,Poeng!AF$1,FALSE)*100,1)&amp;" %"</f>
        <v>0 c. 0 %</v>
      </c>
      <c r="P124" s="123" t="str">
        <f>VLOOKUP(D124,Poeng!$B$10:$BH$259,Poeng!BH$1,FALSE)</f>
        <v>N/A</v>
      </c>
      <c r="Q124" s="744"/>
      <c r="R124" s="745"/>
      <c r="S124" s="738"/>
      <c r="T124" s="319"/>
      <c r="U124" s="1001"/>
      <c r="V124" s="877" t="str">
        <f>VLOOKUP(D124,Poeng!$B$10:$BC$259,Poeng!AK$1,FALSE)&amp;" c. "&amp;ROUND(VLOOKUP(D124,Poeng!$B$10:$BC$259,Poeng!AG$1,FALSE)*100,1)&amp;" %"</f>
        <v>0 c. 0 %</v>
      </c>
      <c r="W124" s="123" t="str">
        <f>VLOOKUP(D124,Poeng!$B$10:$BK$259,Poeng!BK$1,FALSE)</f>
        <v>N/A</v>
      </c>
      <c r="X124" s="81"/>
      <c r="Y124" s="80"/>
      <c r="Z124" s="738"/>
      <c r="AA124" s="133"/>
      <c r="AB124" s="640"/>
      <c r="AC124" s="107">
        <f t="shared" si="12"/>
        <v>1</v>
      </c>
      <c r="AD124" s="3" t="e">
        <f>VLOOKUP(K124,'Assessment Details'!$O$45:$P$48,2,FALSE)</f>
        <v>#N/A</v>
      </c>
      <c r="AE124" s="3" t="e">
        <f>VLOOKUP(R124,'Assessment Details'!$O$45:$P$48,2,FALSE)</f>
        <v>#N/A</v>
      </c>
      <c r="AF124" s="3" t="e">
        <f>VLOOKUP(Y124,'Assessment Details'!$O$45:$P$48,2,FALSE)</f>
        <v>#N/A</v>
      </c>
      <c r="AI124" s="70"/>
      <c r="AJ124" s="671"/>
      <c r="AK124" s="70"/>
      <c r="AL124" s="70"/>
      <c r="AM124" s="70"/>
      <c r="AN124" s="70"/>
      <c r="AO124" s="70"/>
      <c r="AP124" s="70"/>
      <c r="AS124" s="23"/>
      <c r="AT124" s="23"/>
      <c r="AU124" s="23"/>
      <c r="AV124" s="23"/>
      <c r="AW124" s="23"/>
      <c r="AX124" s="23"/>
      <c r="AZ124" s="640"/>
    </row>
    <row r="125" spans="1:52" ht="30" x14ac:dyDescent="0.25">
      <c r="A125" s="1076">
        <v>116</v>
      </c>
      <c r="B125" s="1077" t="s">
        <v>67</v>
      </c>
      <c r="C125" s="1082" t="str">
        <f t="shared" si="19"/>
        <v>Mat 02</v>
      </c>
      <c r="D125" s="19" t="s">
        <v>772</v>
      </c>
      <c r="E125" s="1071" t="str">
        <f>VLOOKUP(D125,Poeng!$B$10:$R$252,Poeng!E$1,FALSE)</f>
        <v>Minimum req: absence of environmental toxins (EU taxonomy requirement: criterion 1)</v>
      </c>
      <c r="F125" s="122" t="str">
        <f>VLOOKUP(D125,Poeng!$B$10:$AB$252,Poeng!AB$1,FALSE)</f>
        <v>Yes/No</v>
      </c>
      <c r="G125" s="43"/>
      <c r="H125" s="123" t="str">
        <f>VLOOKUP(D125,Poeng!$B$10:$AE$252,Poeng!AE$1,FALSE)</f>
        <v>-</v>
      </c>
      <c r="I125" s="124" t="str">
        <f>VLOOKUP(D125,Poeng!$B$10:$BE$252,Poeng!BE$1,FALSE)</f>
        <v>Unclassified</v>
      </c>
      <c r="J125" s="80"/>
      <c r="K125" s="281"/>
      <c r="L125" s="796"/>
      <c r="M125" s="816"/>
      <c r="N125" s="83"/>
      <c r="O125" s="123" t="str">
        <f>VLOOKUP(D125,Poeng!$B$10:$BC$252,Poeng!AF$1,FALSE)</f>
        <v>-</v>
      </c>
      <c r="P125" s="123" t="str">
        <f>VLOOKUP(D125,Poeng!$B$10:$BH$252,Poeng!BH$1,FALSE)</f>
        <v>Unclassified</v>
      </c>
      <c r="Q125" s="744"/>
      <c r="R125" s="745"/>
      <c r="S125" s="738"/>
      <c r="T125" s="319"/>
      <c r="U125" s="83"/>
      <c r="V125" s="123" t="str">
        <f>VLOOKUP(D125,Poeng!$B$10:$BC$252,Poeng!AG$1,FALSE)</f>
        <v>-</v>
      </c>
      <c r="W125" s="123" t="str">
        <f>VLOOKUP(D125,Poeng!$B$10:$BK$252,Poeng!BK$1,FALSE)</f>
        <v>Unclassified</v>
      </c>
      <c r="X125" s="81"/>
      <c r="Y125" s="80"/>
      <c r="Z125" s="738"/>
      <c r="AC125" s="107">
        <f t="shared" si="12"/>
        <v>1</v>
      </c>
      <c r="AD125" s="3" t="e">
        <f>VLOOKUP(K125,'Assessment Details'!$O$45:$P$48,2,FALSE)</f>
        <v>#N/A</v>
      </c>
      <c r="AE125" s="3" t="e">
        <f>VLOOKUP(R125,'Assessment Details'!$O$45:$P$48,2,FALSE)</f>
        <v>#N/A</v>
      </c>
      <c r="AF125" s="3" t="e">
        <f>VLOOKUP(Y125,'Assessment Details'!$O$45:$P$48,2,FALSE)</f>
        <v>#N/A</v>
      </c>
    </row>
    <row r="126" spans="1:52" x14ac:dyDescent="0.25">
      <c r="A126" s="1076">
        <v>117</v>
      </c>
      <c r="B126" s="1077" t="s">
        <v>67</v>
      </c>
      <c r="C126" s="1082" t="str">
        <f t="shared" si="19"/>
        <v>Mat 02</v>
      </c>
      <c r="D126" s="19" t="s">
        <v>773</v>
      </c>
      <c r="E126" s="861" t="str">
        <f>VLOOKUP(D126,Poeng!$B$10:$R$252,Poeng!E$1,FALSE)</f>
        <v xml:space="preserve">EPD for construction products </v>
      </c>
      <c r="F126" s="122">
        <f>VLOOKUP(D126,Poeng!$B$10:$AB$252,Poeng!AB$1,FALSE)</f>
        <v>1</v>
      </c>
      <c r="G126" s="43"/>
      <c r="H126" s="123">
        <f>VLOOKUP(D126,Poeng!$B$10:$AE$252,Poeng!AE$1,FALSE)</f>
        <v>0</v>
      </c>
      <c r="I126" s="124" t="str">
        <f>VLOOKUP(D126,Poeng!$B$10:$BE$252,Poeng!BE$1,FALSE)</f>
        <v>N/A</v>
      </c>
      <c r="J126" s="80"/>
      <c r="K126" s="281"/>
      <c r="L126" s="796"/>
      <c r="M126" s="816"/>
      <c r="N126" s="83"/>
      <c r="O126" s="123">
        <f>VLOOKUP(D126,Poeng!$B$10:$BC$252,Poeng!AF$1,FALSE)</f>
        <v>0</v>
      </c>
      <c r="P126" s="123" t="str">
        <f>VLOOKUP(D126,Poeng!$B$10:$BH$252,Poeng!BH$1,FALSE)</f>
        <v>N/A</v>
      </c>
      <c r="Q126" s="744"/>
      <c r="R126" s="745"/>
      <c r="S126" s="738"/>
      <c r="T126" s="319"/>
      <c r="U126" s="83"/>
      <c r="V126" s="123">
        <f>VLOOKUP(D126,Poeng!$B$10:$BC$252,Poeng!AG$1,FALSE)</f>
        <v>0</v>
      </c>
      <c r="W126" s="123" t="str">
        <f>VLOOKUP(D126,Poeng!$B$10:$BK$252,Poeng!BK$1,FALSE)</f>
        <v>N/A</v>
      </c>
      <c r="X126" s="81"/>
      <c r="Y126" s="80"/>
      <c r="Z126" s="738"/>
      <c r="AC126" s="107">
        <f t="shared" si="12"/>
        <v>1</v>
      </c>
      <c r="AD126" s="3" t="e">
        <f>VLOOKUP(K126,'Assessment Details'!$O$45:$P$48,2,FALSE)</f>
        <v>#N/A</v>
      </c>
      <c r="AE126" s="3" t="e">
        <f>VLOOKUP(R126,'Assessment Details'!$O$45:$P$48,2,FALSE)</f>
        <v>#N/A</v>
      </c>
      <c r="AF126" s="3" t="e">
        <f>VLOOKUP(Y126,'Assessment Details'!$O$45:$P$48,2,FALSE)</f>
        <v>#N/A</v>
      </c>
    </row>
    <row r="127" spans="1:52" x14ac:dyDescent="0.25">
      <c r="A127" s="1076">
        <v>118</v>
      </c>
      <c r="B127" s="1077" t="s">
        <v>67</v>
      </c>
      <c r="C127" s="1082" t="str">
        <f t="shared" si="19"/>
        <v>Mat 02</v>
      </c>
      <c r="D127" s="19" t="s">
        <v>774</v>
      </c>
      <c r="E127" s="861" t="str">
        <f>VLOOKUP(D127,Poeng!$B$10:$R$252,Poeng!E$1,FALSE)</f>
        <v xml:space="preserve">Performance requirements for construction products </v>
      </c>
      <c r="F127" s="122">
        <f>VLOOKUP(D127,Poeng!$B$10:$AB$252,Poeng!AB$1,FALSE)</f>
        <v>2</v>
      </c>
      <c r="G127" s="43"/>
      <c r="H127" s="123">
        <f>VLOOKUP(D127,Poeng!$B$10:$AE$252,Poeng!AE$1,FALSE)</f>
        <v>0</v>
      </c>
      <c r="I127" s="124" t="str">
        <f>VLOOKUP(D127,Poeng!$B$10:$BE$252,Poeng!BE$1,FALSE)</f>
        <v>N/A</v>
      </c>
      <c r="J127" s="80"/>
      <c r="K127" s="281"/>
      <c r="L127" s="796"/>
      <c r="M127" s="816"/>
      <c r="N127" s="83"/>
      <c r="O127" s="123">
        <f>VLOOKUP(D127,Poeng!$B$10:$BC$252,Poeng!AF$1,FALSE)</f>
        <v>0</v>
      </c>
      <c r="P127" s="123" t="str">
        <f>VLOOKUP(D127,Poeng!$B$10:$BH$252,Poeng!BH$1,FALSE)</f>
        <v>N/A</v>
      </c>
      <c r="Q127" s="744"/>
      <c r="R127" s="745"/>
      <c r="S127" s="1095"/>
      <c r="T127" s="319"/>
      <c r="U127" s="83"/>
      <c r="V127" s="123">
        <f>VLOOKUP(D127,Poeng!$B$10:$BC$252,Poeng!AG$1,FALSE)</f>
        <v>0</v>
      </c>
      <c r="W127" s="123" t="str">
        <f>VLOOKUP(D127,Poeng!$B$10:$BK$252,Poeng!BK$1,FALSE)</f>
        <v>N/A</v>
      </c>
      <c r="X127" s="81"/>
      <c r="Y127" s="80"/>
      <c r="Z127" s="1095"/>
      <c r="AC127" s="107">
        <f t="shared" si="12"/>
        <v>1</v>
      </c>
      <c r="AD127" s="3" t="e">
        <f>VLOOKUP(K127,'Assessment Details'!$O$45:$P$48,2,FALSE)</f>
        <v>#N/A</v>
      </c>
      <c r="AE127" s="3" t="e">
        <f>VLOOKUP(R127,'Assessment Details'!$O$45:$P$48,2,FALSE)</f>
        <v>#N/A</v>
      </c>
      <c r="AF127" s="3" t="e">
        <f>VLOOKUP(Y127,'Assessment Details'!$O$45:$P$48,2,FALSE)</f>
        <v>#N/A</v>
      </c>
    </row>
    <row r="128" spans="1:52" x14ac:dyDescent="0.25">
      <c r="A128" s="1076">
        <v>119</v>
      </c>
      <c r="B128" s="1077" t="s">
        <v>67</v>
      </c>
      <c r="C128" s="924" t="s">
        <v>173</v>
      </c>
      <c r="D128" s="824" t="s">
        <v>173</v>
      </c>
      <c r="E128" s="860" t="str">
        <f>VLOOKUP(D128,Poeng!$B$10:$R$252,Poeng!E$1,FALSE)</f>
        <v>Mat 03 Responsible sourcing of construction products</v>
      </c>
      <c r="F128" s="865">
        <f>VLOOKUP(D128,Poeng!$B$10:$AB$252,Poeng!AB$1,FALSE)</f>
        <v>3</v>
      </c>
      <c r="G128" s="1001"/>
      <c r="H128" s="866" t="str">
        <f>VLOOKUP(D128,Poeng!$B$10:$AI$252,Poeng!AI$1,FALSE)&amp;" c. "&amp;ROUND(VLOOKUP(D128,Poeng!$B$10:$AE$252,Poeng!AE$1,FALSE)*100,1)&amp;" %"</f>
        <v>0 c. 0 %</v>
      </c>
      <c r="I128" s="924" t="str">
        <f>VLOOKUP(D128,Poeng!$B$10:$BE$252,Poeng!BE$1,FALSE)</f>
        <v>N/A</v>
      </c>
      <c r="J128" s="80"/>
      <c r="K128" s="281"/>
      <c r="L128" s="796"/>
      <c r="M128" s="816"/>
      <c r="N128" s="1001"/>
      <c r="O128" s="877" t="str">
        <f>VLOOKUP(D128,Poeng!$B$10:$BC$252,Poeng!AJ$1,FALSE)&amp;" c. "&amp;ROUND(VLOOKUP(D128,Poeng!$B$10:$BC$252,Poeng!AF$1,FALSE)*100,1)&amp;" %"</f>
        <v>0 c. 0 %</v>
      </c>
      <c r="P128" s="123" t="str">
        <f>VLOOKUP(D128,Poeng!$B$10:$BH$252,Poeng!BH$1,FALSE)</f>
        <v>N/A</v>
      </c>
      <c r="Q128" s="744"/>
      <c r="R128" s="745"/>
      <c r="S128" s="738"/>
      <c r="T128" s="319"/>
      <c r="U128" s="1001"/>
      <c r="V128" s="877" t="str">
        <f>VLOOKUP(D128,Poeng!$B$10:$BC$252,Poeng!AK$1,FALSE)&amp;" c. "&amp;ROUND(VLOOKUP(D128,Poeng!$B$10:$BC$252,Poeng!AG$1,FALSE)*100,1)&amp;" %"</f>
        <v>0 c. 0 %</v>
      </c>
      <c r="W128" s="123" t="str">
        <f>VLOOKUP(D128,Poeng!$B$10:$BK$252,Poeng!BK$1,FALSE)</f>
        <v>N/A</v>
      </c>
      <c r="X128" s="81"/>
      <c r="Y128" s="80"/>
      <c r="Z128" s="738"/>
      <c r="AA128" s="133"/>
      <c r="AB128" s="640" t="s">
        <v>14</v>
      </c>
      <c r="AC128" s="107">
        <f t="shared" si="12"/>
        <v>1</v>
      </c>
      <c r="AD128" s="3" t="e">
        <f>VLOOKUP(K128,'Assessment Details'!$O$45:$P$48,2,FALSE)</f>
        <v>#N/A</v>
      </c>
      <c r="AE128" s="3" t="e">
        <f>VLOOKUP(R128,'Assessment Details'!$O$45:$P$48,2,FALSE)</f>
        <v>#N/A</v>
      </c>
      <c r="AF128" s="3" t="e">
        <f>VLOOKUP(Y128,'Assessment Details'!$O$45:$P$48,2,FALSE)</f>
        <v>#N/A</v>
      </c>
      <c r="AI128" s="70"/>
      <c r="AJ128" s="671" t="s">
        <v>156</v>
      </c>
      <c r="AK128" s="70"/>
      <c r="AL128" s="70"/>
      <c r="AM128" s="70"/>
      <c r="AN128" s="70"/>
      <c r="AO128" s="70"/>
      <c r="AP128" s="70"/>
      <c r="AS128" s="23" t="str">
        <f t="shared" si="13"/>
        <v>N/A</v>
      </c>
      <c r="AT128" s="23" t="str">
        <f t="shared" si="14"/>
        <v>N/A</v>
      </c>
      <c r="AU128" s="23" t="str">
        <f t="shared" si="15"/>
        <v>N/A</v>
      </c>
      <c r="AV128" s="23"/>
      <c r="AW128" s="23"/>
      <c r="AX128" s="23"/>
      <c r="AZ128" s="640"/>
    </row>
    <row r="129" spans="1:52" x14ac:dyDescent="0.25">
      <c r="A129" s="1076">
        <v>120</v>
      </c>
      <c r="B129" s="1077" t="s">
        <v>67</v>
      </c>
      <c r="C129" s="1082" t="str">
        <f t="shared" si="19"/>
        <v>Mat 03</v>
      </c>
      <c r="D129" s="19" t="s">
        <v>775</v>
      </c>
      <c r="E129" s="861" t="str">
        <f>VLOOKUP(D129,Poeng!$B$10:$R$252,Poeng!E$1,FALSE)</f>
        <v>Minimum req: legal and sustainable timber</v>
      </c>
      <c r="F129" s="122" t="str">
        <f>VLOOKUP(D129,Poeng!$B$10:$AB$252,Poeng!AB$1,FALSE)</f>
        <v>Yes/No</v>
      </c>
      <c r="G129" s="43"/>
      <c r="H129" s="123" t="str">
        <f>VLOOKUP(D129,Poeng!$B$10:$AE$252,Poeng!AE$1,FALSE)</f>
        <v>-</v>
      </c>
      <c r="I129" s="124" t="str">
        <f>VLOOKUP(D129,Poeng!$B$10:$BE$252,Poeng!BE$1,FALSE)</f>
        <v>Unclassified</v>
      </c>
      <c r="J129" s="80"/>
      <c r="K129" s="281"/>
      <c r="L129" s="796"/>
      <c r="M129" s="816"/>
      <c r="N129" s="83"/>
      <c r="O129" s="123" t="str">
        <f>VLOOKUP(D129,Poeng!$B$10:$BC$252,Poeng!AF$1,FALSE)</f>
        <v>-</v>
      </c>
      <c r="P129" s="123" t="str">
        <f>VLOOKUP(D129,Poeng!$B$10:$BH$252,Poeng!BH$1,FALSE)</f>
        <v>Unclassified</v>
      </c>
      <c r="Q129" s="744"/>
      <c r="R129" s="745"/>
      <c r="S129" s="738"/>
      <c r="T129" s="319"/>
      <c r="U129" s="83"/>
      <c r="V129" s="123" t="str">
        <f>VLOOKUP(D129,Poeng!$B$10:$BC$252,Poeng!AG$1,FALSE)</f>
        <v>-</v>
      </c>
      <c r="W129" s="123" t="str">
        <f>VLOOKUP(D129,Poeng!$B$10:$BK$252,Poeng!BK$1,FALSE)</f>
        <v>Unclassified</v>
      </c>
      <c r="X129" s="81"/>
      <c r="Y129" s="80"/>
      <c r="Z129" s="738"/>
      <c r="AC129" s="107">
        <f t="shared" si="12"/>
        <v>1</v>
      </c>
      <c r="AD129" s="3" t="e">
        <f>VLOOKUP(K129,'Assessment Details'!$O$45:$P$48,2,FALSE)</f>
        <v>#N/A</v>
      </c>
      <c r="AE129" s="3" t="e">
        <f>VLOOKUP(R129,'Assessment Details'!$O$45:$P$48,2,FALSE)</f>
        <v>#N/A</v>
      </c>
      <c r="AF129" s="3" t="e">
        <f>VLOOKUP(Y129,'Assessment Details'!$O$45:$P$48,2,FALSE)</f>
        <v>#N/A</v>
      </c>
    </row>
    <row r="130" spans="1:52" x14ac:dyDescent="0.25">
      <c r="A130" s="1076">
        <v>121</v>
      </c>
      <c r="B130" s="1077" t="s">
        <v>67</v>
      </c>
      <c r="C130" s="1082" t="str">
        <f t="shared" si="19"/>
        <v>Mat 03</v>
      </c>
      <c r="D130" s="19" t="s">
        <v>776</v>
      </c>
      <c r="E130" s="861" t="str">
        <f>VLOOKUP(D130,Poeng!$B$10:$R$252,Poeng!E$1,FALSE)</f>
        <v>Enabling sustainable procurement</v>
      </c>
      <c r="F130" s="122">
        <f>VLOOKUP(D130,Poeng!$B$10:$AB$252,Poeng!AB$1,FALSE)</f>
        <v>1</v>
      </c>
      <c r="G130" s="43"/>
      <c r="H130" s="123">
        <f>VLOOKUP(D130,Poeng!$B$10:$AE$252,Poeng!AE$1,FALSE)</f>
        <v>0</v>
      </c>
      <c r="I130" s="124" t="str">
        <f>VLOOKUP(D130,Poeng!$B$10:$BE$252,Poeng!BE$1,FALSE)</f>
        <v>N/A</v>
      </c>
      <c r="J130" s="80"/>
      <c r="K130" s="281"/>
      <c r="L130" s="796"/>
      <c r="M130" s="816"/>
      <c r="N130" s="83"/>
      <c r="O130" s="123">
        <f>VLOOKUP(D130,Poeng!$B$10:$BC$252,Poeng!AF$1,FALSE)</f>
        <v>0</v>
      </c>
      <c r="P130" s="123" t="str">
        <f>VLOOKUP(D130,Poeng!$B$10:$BH$252,Poeng!BH$1,FALSE)</f>
        <v>N/A</v>
      </c>
      <c r="Q130" s="744"/>
      <c r="R130" s="745"/>
      <c r="S130" s="738"/>
      <c r="T130" s="319"/>
      <c r="U130" s="83"/>
      <c r="V130" s="123">
        <f>VLOOKUP(D130,Poeng!$B$10:$BC$252,Poeng!AG$1,FALSE)</f>
        <v>0</v>
      </c>
      <c r="W130" s="123" t="str">
        <f>VLOOKUP(D130,Poeng!$B$10:$BK$252,Poeng!BK$1,FALSE)</f>
        <v>N/A</v>
      </c>
      <c r="X130" s="81"/>
      <c r="Y130" s="80"/>
      <c r="Z130" s="738"/>
      <c r="AC130" s="107">
        <f t="shared" si="12"/>
        <v>1</v>
      </c>
      <c r="AD130" s="3" t="e">
        <f>VLOOKUP(K130,'Assessment Details'!$O$45:$P$48,2,FALSE)</f>
        <v>#N/A</v>
      </c>
      <c r="AE130" s="3" t="e">
        <f>VLOOKUP(R130,'Assessment Details'!$O$45:$P$48,2,FALSE)</f>
        <v>#N/A</v>
      </c>
      <c r="AF130" s="3" t="e">
        <f>VLOOKUP(Y130,'Assessment Details'!$O$45:$P$48,2,FALSE)</f>
        <v>#N/A</v>
      </c>
    </row>
    <row r="131" spans="1:52" x14ac:dyDescent="0.25">
      <c r="A131" s="1076">
        <v>122</v>
      </c>
      <c r="B131" s="1077" t="s">
        <v>67</v>
      </c>
      <c r="C131" s="1082" t="str">
        <f t="shared" si="19"/>
        <v>Mat 03</v>
      </c>
      <c r="D131" s="19" t="s">
        <v>777</v>
      </c>
      <c r="E131" s="861" t="str">
        <f>VLOOKUP(D131,Poeng!$B$10:$R$252,Poeng!E$1,FALSE)</f>
        <v>Responsible sourcing of relevant materials</v>
      </c>
      <c r="F131" s="122">
        <f>VLOOKUP(D131,Poeng!$B$10:$AB$252,Poeng!AB$1,FALSE)</f>
        <v>2</v>
      </c>
      <c r="G131" s="43"/>
      <c r="H131" s="123">
        <f>VLOOKUP(D131,Poeng!$B$10:$AE$252,Poeng!AE$1,FALSE)</f>
        <v>0</v>
      </c>
      <c r="I131" s="124" t="str">
        <f>VLOOKUP(D131,Poeng!$B$10:$BE$252,Poeng!BE$1,FALSE)</f>
        <v>N/A</v>
      </c>
      <c r="J131" s="1096"/>
      <c r="K131" s="281"/>
      <c r="L131" s="796"/>
      <c r="M131" s="816"/>
      <c r="N131" s="83"/>
      <c r="O131" s="123">
        <f>VLOOKUP(D131,Poeng!$B$10:$BC$252,Poeng!AF$1,FALSE)</f>
        <v>0</v>
      </c>
      <c r="P131" s="123" t="str">
        <f>VLOOKUP(D131,Poeng!$B$10:$BH$252,Poeng!BH$1,FALSE)</f>
        <v>N/A</v>
      </c>
      <c r="Q131" s="744"/>
      <c r="R131" s="745"/>
      <c r="S131" s="738"/>
      <c r="T131" s="319"/>
      <c r="U131" s="83"/>
      <c r="V131" s="123">
        <f>VLOOKUP(D131,Poeng!$B$10:$BC$252,Poeng!AG$1,FALSE)</f>
        <v>0</v>
      </c>
      <c r="W131" s="123" t="str">
        <f>VLOOKUP(D131,Poeng!$B$10:$BK$252,Poeng!BK$1,FALSE)</f>
        <v>N/A</v>
      </c>
      <c r="X131" s="81"/>
      <c r="Y131" s="80"/>
      <c r="Z131" s="738"/>
      <c r="AC131" s="107">
        <f t="shared" si="12"/>
        <v>1</v>
      </c>
      <c r="AD131" s="3" t="e">
        <f>VLOOKUP(K131,'Assessment Details'!$O$45:$P$48,2,FALSE)</f>
        <v>#N/A</v>
      </c>
      <c r="AE131" s="3" t="e">
        <f>VLOOKUP(R131,'Assessment Details'!$O$45:$P$48,2,FALSE)</f>
        <v>#N/A</v>
      </c>
      <c r="AF131" s="3" t="e">
        <f>VLOOKUP(Y131,'Assessment Details'!$O$45:$P$48,2,FALSE)</f>
        <v>#N/A</v>
      </c>
    </row>
    <row r="132" spans="1:52" x14ac:dyDescent="0.25">
      <c r="A132" s="1076">
        <v>123</v>
      </c>
      <c r="B132" s="1077" t="s">
        <v>67</v>
      </c>
      <c r="C132" s="924" t="s">
        <v>174</v>
      </c>
      <c r="D132" s="824" t="s">
        <v>174</v>
      </c>
      <c r="E132" s="860" t="str">
        <f>VLOOKUP(D132,Poeng!$B$10:$R$252,Poeng!E$1,FALSE)</f>
        <v>Mat 05 Designing for durability and climate adaption</v>
      </c>
      <c r="F132" s="865">
        <f>VLOOKUP(D132,Poeng!$B$10:$AB$252,Poeng!AB$1,FALSE)</f>
        <v>4</v>
      </c>
      <c r="G132" s="1001"/>
      <c r="H132" s="866" t="str">
        <f>VLOOKUP(D132,Poeng!$B$10:$AI$252,Poeng!AI$1,FALSE)&amp;" c. "&amp;ROUND(VLOOKUP(D132,Poeng!$B$10:$AE$252,Poeng!AE$1,FALSE)*100,1)&amp;" %"</f>
        <v>0 c. 0 %</v>
      </c>
      <c r="I132" s="924" t="str">
        <f>VLOOKUP(D132,Poeng!$B$10:$BE$252,Poeng!BE$1,FALSE)</f>
        <v>N/A</v>
      </c>
      <c r="J132" s="80"/>
      <c r="K132" s="281"/>
      <c r="L132" s="796"/>
      <c r="M132" s="816"/>
      <c r="N132" s="1001"/>
      <c r="O132" s="877" t="str">
        <f>VLOOKUP(D132,Poeng!$B$10:$BC$252,Poeng!AJ$1,FALSE)&amp;" c. "&amp;ROUND(VLOOKUP(D132,Poeng!$B$10:$BC$252,Poeng!AF$1,FALSE)*100,1)&amp;" %"</f>
        <v>0 c. 0 %</v>
      </c>
      <c r="P132" s="123" t="str">
        <f>VLOOKUP(D132,Poeng!$B$10:$BH$252,Poeng!BH$1,FALSE)</f>
        <v>N/A</v>
      </c>
      <c r="Q132" s="744"/>
      <c r="R132" s="745"/>
      <c r="S132" s="738"/>
      <c r="T132" s="319"/>
      <c r="U132" s="1001"/>
      <c r="V132" s="877" t="str">
        <f>VLOOKUP(D132,Poeng!$B$10:$BC$252,Poeng!AK$1,FALSE)&amp;" c. "&amp;ROUND(VLOOKUP(D132,Poeng!$B$10:$BC$252,Poeng!AG$1,FALSE)*100,1)&amp;" %"</f>
        <v>0 c. 0 %</v>
      </c>
      <c r="W132" s="123" t="str">
        <f>VLOOKUP(D132,Poeng!$B$10:$BK$252,Poeng!BK$1,FALSE)</f>
        <v>N/A</v>
      </c>
      <c r="X132" s="81"/>
      <c r="Y132" s="80"/>
      <c r="Z132" s="738"/>
      <c r="AA132" s="133"/>
      <c r="AB132" s="640" t="s">
        <v>13</v>
      </c>
      <c r="AC132" s="107">
        <f t="shared" si="12"/>
        <v>1</v>
      </c>
      <c r="AD132" s="3" t="e">
        <f>VLOOKUP(K132,'Assessment Details'!$O$45:$P$48,2,FALSE)</f>
        <v>#N/A</v>
      </c>
      <c r="AE132" s="3" t="e">
        <f>VLOOKUP(R132,'Assessment Details'!$O$45:$P$48,2,FALSE)</f>
        <v>#N/A</v>
      </c>
      <c r="AF132" s="3" t="e">
        <f>VLOOKUP(Y132,'Assessment Details'!$O$45:$P$48,2,FALSE)</f>
        <v>#N/A</v>
      </c>
      <c r="AI132" s="70" t="str">
        <f>ais_ja</f>
        <v>Ja</v>
      </c>
      <c r="AJ132" s="671" t="s">
        <v>157</v>
      </c>
      <c r="AK132" s="648" t="s">
        <v>405</v>
      </c>
      <c r="AL132" s="648" t="s">
        <v>409</v>
      </c>
      <c r="AM132" s="648" t="s">
        <v>407</v>
      </c>
      <c r="AN132" s="70"/>
      <c r="AO132" s="70"/>
      <c r="AP132" s="70"/>
      <c r="AR132" s="1" t="s">
        <v>13</v>
      </c>
      <c r="AS132" s="23" t="str">
        <f t="shared" si="13"/>
        <v>N/A</v>
      </c>
      <c r="AT132" s="23" t="str">
        <f t="shared" si="14"/>
        <v>N/A</v>
      </c>
      <c r="AU132" s="23" t="str">
        <f t="shared" si="15"/>
        <v>N/A</v>
      </c>
      <c r="AV132" s="23"/>
      <c r="AW132" s="23"/>
      <c r="AX132" s="23"/>
      <c r="AZ132" s="642"/>
    </row>
    <row r="133" spans="1:52" x14ac:dyDescent="0.25">
      <c r="A133" s="1076">
        <v>124</v>
      </c>
      <c r="B133" s="1077" t="s">
        <v>67</v>
      </c>
      <c r="C133" s="1082" t="str">
        <f t="shared" si="19"/>
        <v>Mat 05</v>
      </c>
      <c r="D133" s="824" t="s">
        <v>778</v>
      </c>
      <c r="E133" s="861" t="str">
        <f>VLOOKUP(D133,Poeng!$B$10:$R$252,Poeng!E$1,FALSE)</f>
        <v>Pre-requisite: risk analysis</v>
      </c>
      <c r="F133" s="122" t="str">
        <f>VLOOKUP(D133,Poeng!$B$10:$AB$252,Poeng!AB$1,FALSE)</f>
        <v>Yes/No</v>
      </c>
      <c r="G133" s="43"/>
      <c r="H133" s="123" t="str">
        <f>VLOOKUP(D133,Poeng!$B$10:$AE$252,Poeng!AE$1,FALSE)</f>
        <v>-</v>
      </c>
      <c r="I133" s="124" t="str">
        <f>VLOOKUP(D133,Poeng!$B$10:$BE$252,Poeng!BE$1,FALSE)</f>
        <v>N/A</v>
      </c>
      <c r="J133" s="80"/>
      <c r="K133" s="281"/>
      <c r="L133" s="796"/>
      <c r="M133" s="816"/>
      <c r="N133" s="83"/>
      <c r="O133" s="123" t="str">
        <f>VLOOKUP(D133,Poeng!$B$10:$BC$252,Poeng!AF$1,FALSE)</f>
        <v>-</v>
      </c>
      <c r="P133" s="123" t="str">
        <f>VLOOKUP(D133,Poeng!$B$10:$BH$252,Poeng!BH$1,FALSE)</f>
        <v>N/A</v>
      </c>
      <c r="Q133" s="744"/>
      <c r="R133" s="745"/>
      <c r="S133" s="738"/>
      <c r="T133" s="319"/>
      <c r="U133" s="83"/>
      <c r="V133" s="123" t="str">
        <f>VLOOKUP(D133,Poeng!$B$10:$BC$252,Poeng!AG$1,FALSE)</f>
        <v>-</v>
      </c>
      <c r="W133" s="123" t="str">
        <f>VLOOKUP(D133,Poeng!$B$10:$BK$252,Poeng!BK$1,FALSE)</f>
        <v>N/A</v>
      </c>
      <c r="X133" s="81"/>
      <c r="Y133" s="80"/>
      <c r="Z133" s="738"/>
      <c r="AA133" s="133"/>
      <c r="AB133" s="714"/>
      <c r="AC133" s="107">
        <f t="shared" si="12"/>
        <v>1</v>
      </c>
      <c r="AD133" s="3" t="e">
        <f>VLOOKUP(K133,'Assessment Details'!$O$45:$P$48,2,FALSE)</f>
        <v>#N/A</v>
      </c>
      <c r="AE133" s="3" t="e">
        <f>VLOOKUP(R133,'Assessment Details'!$O$45:$P$48,2,FALSE)</f>
        <v>#N/A</v>
      </c>
      <c r="AF133" s="3" t="e">
        <f>VLOOKUP(Y133,'Assessment Details'!$O$45:$P$48,2,FALSE)</f>
        <v>#N/A</v>
      </c>
      <c r="AI133" s="70"/>
      <c r="AJ133" s="671"/>
      <c r="AK133" s="648"/>
      <c r="AL133" s="648"/>
      <c r="AM133" s="648"/>
      <c r="AN133" s="70"/>
      <c r="AO133" s="70"/>
      <c r="AP133" s="70"/>
      <c r="AS133" s="23"/>
      <c r="AT133" s="23"/>
      <c r="AU133" s="23"/>
      <c r="AV133" s="23"/>
      <c r="AW133" s="23"/>
      <c r="AX133" s="23"/>
      <c r="AZ133" s="715"/>
    </row>
    <row r="134" spans="1:52" x14ac:dyDescent="0.25">
      <c r="A134" s="1076">
        <v>125</v>
      </c>
      <c r="B134" s="1077" t="s">
        <v>67</v>
      </c>
      <c r="C134" s="1082" t="str">
        <f t="shared" si="19"/>
        <v>Mat 05</v>
      </c>
      <c r="D134" s="824" t="s">
        <v>779</v>
      </c>
      <c r="E134" s="861" t="str">
        <f>VLOOKUP(D134,Poeng!$B$10:$R$252,Poeng!E$1,FALSE)</f>
        <v>Protect vulnerable parts of the building from damage</v>
      </c>
      <c r="F134" s="122">
        <f>VLOOKUP(D134,Poeng!$B$10:$AB$252,Poeng!AB$1,FALSE)</f>
        <v>1</v>
      </c>
      <c r="G134" s="1073"/>
      <c r="H134" s="123">
        <f>VLOOKUP(D134,Poeng!$B$10:$AE$252,Poeng!AE$1,FALSE)</f>
        <v>0</v>
      </c>
      <c r="I134" s="124" t="str">
        <f>VLOOKUP(D134,Poeng!$B$10:$BE$252,Poeng!BE$1,FALSE)</f>
        <v>N/A</v>
      </c>
      <c r="J134" s="80"/>
      <c r="K134" s="281"/>
      <c r="L134" s="796"/>
      <c r="M134" s="816"/>
      <c r="N134" s="83"/>
      <c r="O134" s="123">
        <f>VLOOKUP(D134,Poeng!$B$10:$BC$252,Poeng!AF$1,FALSE)</f>
        <v>0</v>
      </c>
      <c r="P134" s="123" t="str">
        <f>VLOOKUP(D134,Poeng!$B$10:$BH$252,Poeng!BH$1,FALSE)</f>
        <v>N/A</v>
      </c>
      <c r="Q134" s="744"/>
      <c r="R134" s="745"/>
      <c r="S134" s="738"/>
      <c r="T134" s="319"/>
      <c r="U134" s="83"/>
      <c r="V134" s="123">
        <f>VLOOKUP(D134,Poeng!$B$10:$BC$252,Poeng!AG$1,FALSE)</f>
        <v>0</v>
      </c>
      <c r="W134" s="123" t="str">
        <f>VLOOKUP(D134,Poeng!$B$10:$BK$252,Poeng!BK$1,FALSE)</f>
        <v>N/A</v>
      </c>
      <c r="X134" s="81"/>
      <c r="Y134" s="80"/>
      <c r="Z134" s="738"/>
      <c r="AA134" s="133"/>
      <c r="AB134" s="714"/>
      <c r="AC134" s="107">
        <f t="shared" si="12"/>
        <v>1</v>
      </c>
      <c r="AD134" s="3" t="e">
        <f>VLOOKUP(K134,'Assessment Details'!$O$45:$P$48,2,FALSE)</f>
        <v>#N/A</v>
      </c>
      <c r="AE134" s="3" t="e">
        <f>VLOOKUP(R134,'Assessment Details'!$O$45:$P$48,2,FALSE)</f>
        <v>#N/A</v>
      </c>
      <c r="AF134" s="3" t="e">
        <f>VLOOKUP(Y134,'Assessment Details'!$O$45:$P$48,2,FALSE)</f>
        <v>#N/A</v>
      </c>
      <c r="AI134" s="70"/>
      <c r="AJ134" s="671"/>
      <c r="AK134" s="648"/>
      <c r="AL134" s="648"/>
      <c r="AM134" s="648"/>
      <c r="AN134" s="70"/>
      <c r="AO134" s="70"/>
      <c r="AP134" s="70"/>
      <c r="AS134" s="23"/>
      <c r="AT134" s="23"/>
      <c r="AU134" s="23"/>
      <c r="AV134" s="23"/>
      <c r="AW134" s="23"/>
      <c r="AX134" s="23"/>
      <c r="AZ134" s="715"/>
    </row>
    <row r="135" spans="1:52" x14ac:dyDescent="0.25">
      <c r="A135" s="1076">
        <v>126</v>
      </c>
      <c r="B135" s="1077" t="s">
        <v>67</v>
      </c>
      <c r="C135" s="1082" t="str">
        <f t="shared" si="19"/>
        <v>Mat 05</v>
      </c>
      <c r="D135" s="824" t="s">
        <v>780</v>
      </c>
      <c r="E135" s="1071" t="str">
        <f>VLOOKUP(D135,Poeng!$B$10:$R$252,Poeng!E$1,FALSE)</f>
        <v xml:space="preserve">Protecting exposed parts of the building from material degradation </v>
      </c>
      <c r="F135" s="122">
        <f>VLOOKUP(D135,Poeng!$B$10:$AB$252,Poeng!AB$1,FALSE)</f>
        <v>1</v>
      </c>
      <c r="G135" s="1073"/>
      <c r="H135" s="123">
        <f>VLOOKUP(D135,Poeng!$B$10:$AE$252,Poeng!AE$1,FALSE)</f>
        <v>0</v>
      </c>
      <c r="I135" s="124" t="str">
        <f>VLOOKUP(D135,Poeng!$B$10:$BE$252,Poeng!BE$1,FALSE)</f>
        <v>N/A</v>
      </c>
      <c r="J135" s="80"/>
      <c r="K135" s="281"/>
      <c r="L135" s="796"/>
      <c r="M135" s="816"/>
      <c r="N135" s="83"/>
      <c r="O135" s="123">
        <f>VLOOKUP(D135,Poeng!$B$10:$BC$252,Poeng!AF$1,FALSE)</f>
        <v>0</v>
      </c>
      <c r="P135" s="123" t="str">
        <f>VLOOKUP(D135,Poeng!$B$10:$BH$252,Poeng!BH$1,FALSE)</f>
        <v>N/A</v>
      </c>
      <c r="Q135" s="744"/>
      <c r="R135" s="745"/>
      <c r="S135" s="738"/>
      <c r="T135" s="319"/>
      <c r="U135" s="83"/>
      <c r="V135" s="123">
        <f>VLOOKUP(D135,Poeng!$B$10:$BC$252,Poeng!AG$1,FALSE)</f>
        <v>0</v>
      </c>
      <c r="W135" s="123" t="str">
        <f>VLOOKUP(D135,Poeng!$B$10:$BK$252,Poeng!BK$1,FALSE)</f>
        <v>N/A</v>
      </c>
      <c r="X135" s="81"/>
      <c r="Y135" s="80"/>
      <c r="Z135" s="738"/>
      <c r="AA135" s="133"/>
      <c r="AB135" s="714"/>
      <c r="AC135" s="107">
        <f t="shared" si="12"/>
        <v>1</v>
      </c>
      <c r="AD135" s="3" t="e">
        <f>VLOOKUP(K135,'Assessment Details'!$O$45:$P$48,2,FALSE)</f>
        <v>#N/A</v>
      </c>
      <c r="AE135" s="3" t="e">
        <f>VLOOKUP(R135,'Assessment Details'!$O$45:$P$48,2,FALSE)</f>
        <v>#N/A</v>
      </c>
      <c r="AF135" s="3" t="e">
        <f>VLOOKUP(Y135,'Assessment Details'!$O$45:$P$48,2,FALSE)</f>
        <v>#N/A</v>
      </c>
      <c r="AI135" s="70"/>
      <c r="AJ135" s="671"/>
      <c r="AK135" s="648"/>
      <c r="AL135" s="648"/>
      <c r="AM135" s="648"/>
      <c r="AN135" s="70"/>
      <c r="AO135" s="70"/>
      <c r="AP135" s="70"/>
      <c r="AS135" s="23"/>
      <c r="AT135" s="23"/>
      <c r="AU135" s="23"/>
      <c r="AV135" s="23"/>
      <c r="AW135" s="23"/>
      <c r="AX135" s="23"/>
      <c r="AZ135" s="715"/>
    </row>
    <row r="136" spans="1:52" x14ac:dyDescent="0.25">
      <c r="A136" s="1076">
        <v>127</v>
      </c>
      <c r="B136" s="1077" t="s">
        <v>67</v>
      </c>
      <c r="C136" s="1082" t="str">
        <f t="shared" si="19"/>
        <v>Mat 05</v>
      </c>
      <c r="D136" s="824" t="s">
        <v>781</v>
      </c>
      <c r="E136" s="1071" t="str">
        <f>VLOOKUP(D136,Poeng!$B$10:$R$252,Poeng!E$1,FALSE)</f>
        <v>Control plan and moisture measurements</v>
      </c>
      <c r="F136" s="122">
        <f>VLOOKUP(D136,Poeng!$B$10:$AB$252,Poeng!AB$1,FALSE)</f>
        <v>1</v>
      </c>
      <c r="G136" s="1073"/>
      <c r="H136" s="123">
        <f>VLOOKUP(D136,Poeng!$B$10:$AE$252,Poeng!AE$1,FALSE)</f>
        <v>0</v>
      </c>
      <c r="I136" s="124" t="str">
        <f>VLOOKUP(D136,Poeng!$B$10:$BE$252,Poeng!BE$1,FALSE)</f>
        <v>Very Good</v>
      </c>
      <c r="J136" s="80"/>
      <c r="K136" s="281"/>
      <c r="L136" s="796"/>
      <c r="M136" s="816"/>
      <c r="N136" s="83"/>
      <c r="O136" s="123">
        <f>VLOOKUP(D136,Poeng!$B$10:$BC$252,Poeng!AF$1,FALSE)</f>
        <v>0</v>
      </c>
      <c r="P136" s="123" t="str">
        <f>VLOOKUP(D136,Poeng!$B$10:$BH$252,Poeng!BH$1,FALSE)</f>
        <v>Very Good</v>
      </c>
      <c r="Q136" s="744"/>
      <c r="R136" s="745"/>
      <c r="S136" s="738"/>
      <c r="T136" s="319"/>
      <c r="U136" s="83"/>
      <c r="V136" s="123">
        <f>VLOOKUP(D136,Poeng!$B$10:$BC$252,Poeng!AG$1,FALSE)</f>
        <v>0</v>
      </c>
      <c r="W136" s="123" t="str">
        <f>VLOOKUP(D136,Poeng!$B$10:$BK$252,Poeng!BK$1,FALSE)</f>
        <v>Very Good</v>
      </c>
      <c r="X136" s="81"/>
      <c r="Y136" s="80"/>
      <c r="Z136" s="738"/>
      <c r="AA136" s="133"/>
      <c r="AB136" s="714"/>
      <c r="AC136" s="107">
        <f t="shared" si="12"/>
        <v>1</v>
      </c>
      <c r="AD136" s="3" t="e">
        <f>VLOOKUP(K136,'Assessment Details'!$O$45:$P$48,2,FALSE)</f>
        <v>#N/A</v>
      </c>
      <c r="AE136" s="3" t="e">
        <f>VLOOKUP(R136,'Assessment Details'!$O$45:$P$48,2,FALSE)</f>
        <v>#N/A</v>
      </c>
      <c r="AF136" s="3" t="e">
        <f>VLOOKUP(Y136,'Assessment Details'!$O$45:$P$48,2,FALSE)</f>
        <v>#N/A</v>
      </c>
      <c r="AI136" s="70"/>
      <c r="AJ136" s="671"/>
      <c r="AK136" s="648"/>
      <c r="AL136" s="648"/>
      <c r="AM136" s="648"/>
      <c r="AN136" s="70"/>
      <c r="AO136" s="70"/>
      <c r="AP136" s="70"/>
      <c r="AS136" s="23"/>
      <c r="AT136" s="23"/>
      <c r="AU136" s="23"/>
      <c r="AV136" s="23"/>
      <c r="AW136" s="23"/>
      <c r="AX136" s="23"/>
      <c r="AZ136" s="715"/>
    </row>
    <row r="137" spans="1:52" x14ac:dyDescent="0.25">
      <c r="A137" s="1076">
        <v>128</v>
      </c>
      <c r="B137" s="1077" t="s">
        <v>67</v>
      </c>
      <c r="C137" s="1082" t="str">
        <f t="shared" si="19"/>
        <v>Mat 05</v>
      </c>
      <c r="D137" s="824" t="s">
        <v>894</v>
      </c>
      <c r="E137" s="861" t="str">
        <f>VLOOKUP(D137,Poeng!$B$10:$R$252,Poeng!E$1,FALSE)</f>
        <v>Construction under cover</v>
      </c>
      <c r="F137" s="122">
        <f>VLOOKUP(D137,Poeng!$B$10:$AB$252,Poeng!AB$1,FALSE)</f>
        <v>1</v>
      </c>
      <c r="G137" s="1073"/>
      <c r="H137" s="123">
        <f>VLOOKUP(D137,Poeng!$B$10:$AE$252,Poeng!AE$1,FALSE)</f>
        <v>0</v>
      </c>
      <c r="I137" s="124" t="str">
        <f>VLOOKUP(D137,Poeng!$B$10:$BE$252,Poeng!BE$1,FALSE)</f>
        <v>N/A</v>
      </c>
      <c r="J137" s="80"/>
      <c r="K137" s="281"/>
      <c r="L137" s="796"/>
      <c r="M137" s="816"/>
      <c r="N137" s="83"/>
      <c r="O137" s="123">
        <f>VLOOKUP(D137,Poeng!$B$10:$BC$252,Poeng!AF$1,FALSE)</f>
        <v>0</v>
      </c>
      <c r="P137" s="123" t="str">
        <f>VLOOKUP(D137,Poeng!$B$10:$BH$252,Poeng!BH$1,FALSE)</f>
        <v>N/A</v>
      </c>
      <c r="Q137" s="744"/>
      <c r="R137" s="745"/>
      <c r="S137" s="738"/>
      <c r="T137" s="319"/>
      <c r="U137" s="83"/>
      <c r="V137" s="123">
        <f>VLOOKUP(D137,Poeng!$B$10:$BC$252,Poeng!AG$1,FALSE)</f>
        <v>0</v>
      </c>
      <c r="W137" s="123" t="str">
        <f>VLOOKUP(D137,Poeng!$B$10:$BK$252,Poeng!BK$1,FALSE)</f>
        <v>N/A</v>
      </c>
      <c r="X137" s="81"/>
      <c r="Y137" s="80"/>
      <c r="Z137" s="738"/>
      <c r="AA137" s="133"/>
      <c r="AB137" s="714"/>
      <c r="AC137" s="107">
        <f t="shared" si="12"/>
        <v>1</v>
      </c>
      <c r="AD137" s="3" t="e">
        <f>VLOOKUP(K137,'Assessment Details'!$O$45:$P$48,2,FALSE)</f>
        <v>#N/A</v>
      </c>
      <c r="AE137" s="3" t="e">
        <f>VLOOKUP(R137,'Assessment Details'!$O$45:$P$48,2,FALSE)</f>
        <v>#N/A</v>
      </c>
      <c r="AF137" s="3" t="e">
        <f>VLOOKUP(Y137,'Assessment Details'!$O$45:$P$48,2,FALSE)</f>
        <v>#N/A</v>
      </c>
      <c r="AI137" s="70"/>
      <c r="AJ137" s="671"/>
      <c r="AK137" s="648"/>
      <c r="AL137" s="648"/>
      <c r="AM137" s="648"/>
      <c r="AN137" s="70"/>
      <c r="AO137" s="70"/>
      <c r="AP137" s="70"/>
      <c r="AS137" s="23"/>
      <c r="AT137" s="23"/>
      <c r="AU137" s="23"/>
      <c r="AV137" s="23"/>
      <c r="AW137" s="23"/>
      <c r="AX137" s="23"/>
      <c r="AZ137" s="715"/>
    </row>
    <row r="138" spans="1:52" x14ac:dyDescent="0.25">
      <c r="A138" s="1076">
        <v>129</v>
      </c>
      <c r="B138" s="1077" t="s">
        <v>67</v>
      </c>
      <c r="C138" s="924" t="s">
        <v>175</v>
      </c>
      <c r="D138" s="824" t="s">
        <v>175</v>
      </c>
      <c r="E138" s="860" t="str">
        <f>VLOOKUP(D138,Poeng!$B$10:$R$252,Poeng!E$1,FALSE)</f>
        <v>Mat 06 Material efficiency</v>
      </c>
      <c r="F138" s="865">
        <f>VLOOKUP(D138,Poeng!$B$10:$AB$252,Poeng!AB$1,FALSE)</f>
        <v>3</v>
      </c>
      <c r="G138" s="1001"/>
      <c r="H138" s="866" t="str">
        <f>VLOOKUP(D138,Poeng!$B$10:$AI$252,Poeng!AI$1,FALSE)&amp;" c. "&amp;ROUND(VLOOKUP(D138,Poeng!$B$10:$AE$252,Poeng!AE$1,FALSE)*100,1)&amp;" %"</f>
        <v>0 c. 0 %</v>
      </c>
      <c r="I138" s="924" t="str">
        <f>VLOOKUP(D138,Poeng!$B$10:$BE$252,Poeng!BE$1,FALSE)</f>
        <v>N/A</v>
      </c>
      <c r="J138" s="80"/>
      <c r="K138" s="281"/>
      <c r="L138" s="796"/>
      <c r="M138" s="816"/>
      <c r="N138" s="1001"/>
      <c r="O138" s="877" t="str">
        <f>VLOOKUP(D138,Poeng!$B$10:$BC$252,Poeng!AJ$1,FALSE)&amp;" c. "&amp;ROUND(VLOOKUP(D138,Poeng!$B$10:$BC$252,Poeng!AF$1,FALSE)*100,1)&amp;" %"</f>
        <v>0 c. 0 %</v>
      </c>
      <c r="P138" s="123" t="str">
        <f>VLOOKUP(D138,Poeng!$B$10:$BH$252,Poeng!BH$1,FALSE)</f>
        <v>N/A</v>
      </c>
      <c r="Q138" s="744"/>
      <c r="R138" s="745"/>
      <c r="S138" s="738"/>
      <c r="T138" s="319"/>
      <c r="U138" s="1001"/>
      <c r="V138" s="877" t="str">
        <f>VLOOKUP(D138,Poeng!$B$10:$BC$252,Poeng!AK$1,FALSE)&amp;" c. "&amp;ROUND(VLOOKUP(D138,Poeng!$B$10:$BC$252,Poeng!AG$1,FALSE)*100,1)&amp;" %"</f>
        <v>0 c. 0 %</v>
      </c>
      <c r="W138" s="123" t="str">
        <f>VLOOKUP(D138,Poeng!$B$10:$BK$252,Poeng!BK$1,FALSE)</f>
        <v>N/A</v>
      </c>
      <c r="X138" s="81"/>
      <c r="Y138" s="80"/>
      <c r="Z138" s="738"/>
      <c r="AA138" s="133"/>
      <c r="AB138" s="714"/>
      <c r="AC138" s="107">
        <f t="shared" si="12"/>
        <v>1</v>
      </c>
      <c r="AD138" s="3" t="e">
        <f>VLOOKUP(K138,'Assessment Details'!$O$45:$P$48,2,FALSE)</f>
        <v>#N/A</v>
      </c>
      <c r="AE138" s="3" t="e">
        <f>VLOOKUP(R138,'Assessment Details'!$O$45:$P$48,2,FALSE)</f>
        <v>#N/A</v>
      </c>
      <c r="AF138" s="3" t="e">
        <f>VLOOKUP(Y138,'Assessment Details'!$O$45:$P$48,2,FALSE)</f>
        <v>#N/A</v>
      </c>
      <c r="AI138" s="70"/>
      <c r="AJ138" s="671"/>
      <c r="AK138" s="648"/>
      <c r="AL138" s="648"/>
      <c r="AM138" s="648"/>
      <c r="AN138" s="70"/>
      <c r="AO138" s="70"/>
      <c r="AP138" s="70"/>
      <c r="AS138" s="23"/>
      <c r="AT138" s="23"/>
      <c r="AU138" s="23"/>
      <c r="AV138" s="23"/>
      <c r="AW138" s="23"/>
      <c r="AX138" s="23"/>
      <c r="AZ138" s="715"/>
    </row>
    <row r="139" spans="1:52" ht="30" customHeight="1" x14ac:dyDescent="0.25">
      <c r="A139" s="1076">
        <v>130</v>
      </c>
      <c r="B139" s="1077" t="s">
        <v>67</v>
      </c>
      <c r="C139" s="1082" t="str">
        <f>C138</f>
        <v>Mat 06</v>
      </c>
      <c r="D139" s="824" t="s">
        <v>1035</v>
      </c>
      <c r="E139" s="1071" t="str">
        <f>VLOOKUP(D139,Poeng!$B$10:$R$252,Poeng!E$1,FALSE)</f>
        <v>Minimum req: mapping for component reuse - criterion 1 (EU taxonomy requirement: criterion 1)</v>
      </c>
      <c r="F139" s="122" t="str">
        <f>VLOOKUP(D139,Poeng!$B$10:$AB$252,Poeng!AB$1,FALSE)</f>
        <v>Yes/No</v>
      </c>
      <c r="G139" s="43"/>
      <c r="H139" s="123" t="str">
        <f>VLOOKUP(D139,Poeng!$B$10:$AE$252,Poeng!AE$1,FALSE)</f>
        <v>-</v>
      </c>
      <c r="I139" s="124" t="str">
        <f>VLOOKUP(D139,Poeng!$B$10:$BE$252,Poeng!BE$1,FALSE)</f>
        <v>Unclassified</v>
      </c>
      <c r="J139" s="80"/>
      <c r="K139" s="281"/>
      <c r="L139" s="796"/>
      <c r="M139" s="816"/>
      <c r="N139" s="83"/>
      <c r="O139" s="123" t="str">
        <f>VLOOKUP(D139,Poeng!$B$10:$BC$252,Poeng!AF$1,FALSE)</f>
        <v>-</v>
      </c>
      <c r="P139" s="123" t="str">
        <f>VLOOKUP(D139,Poeng!$B$10:$BH$252,Poeng!BH$1,FALSE)</f>
        <v>Unclassified</v>
      </c>
      <c r="Q139" s="744"/>
      <c r="R139" s="745"/>
      <c r="S139" s="738"/>
      <c r="T139" s="319"/>
      <c r="U139" s="83"/>
      <c r="V139" s="123" t="str">
        <f>VLOOKUP(D139,Poeng!$B$10:$BC$252,Poeng!AG$1,FALSE)</f>
        <v>-</v>
      </c>
      <c r="W139" s="123" t="str">
        <f>VLOOKUP(D139,Poeng!$B$10:$BK$252,Poeng!BK$1,FALSE)</f>
        <v>Unclassified</v>
      </c>
      <c r="X139" s="81"/>
      <c r="Y139" s="80"/>
      <c r="Z139" s="738"/>
      <c r="AA139" s="133"/>
      <c r="AB139" s="864"/>
      <c r="AC139" s="107">
        <f t="shared" ref="AC139" si="20">IF(F139="",1,IF(F139=0,2,1))</f>
        <v>1</v>
      </c>
      <c r="AD139" s="3" t="e">
        <f>VLOOKUP(K139,'Assessment Details'!$O$45:$P$48,2,FALSE)</f>
        <v>#N/A</v>
      </c>
      <c r="AE139" s="3" t="e">
        <f>VLOOKUP(R139,'Assessment Details'!$O$45:$P$48,2,FALSE)</f>
        <v>#N/A</v>
      </c>
      <c r="AF139" s="3" t="e">
        <f>VLOOKUP(Y139,'Assessment Details'!$O$45:$P$48,2,FALSE)</f>
        <v>#N/A</v>
      </c>
      <c r="AI139" s="3"/>
      <c r="AJ139" s="3"/>
      <c r="AK139" s="727"/>
      <c r="AL139" s="727"/>
      <c r="AM139" s="727"/>
      <c r="AN139" s="3"/>
      <c r="AO139" s="3"/>
      <c r="AP139" s="3"/>
      <c r="AS139" s="23"/>
      <c r="AT139" s="23"/>
      <c r="AU139" s="23"/>
      <c r="AV139" s="23"/>
      <c r="AW139" s="23"/>
      <c r="AX139" s="23"/>
      <c r="AZ139" s="864"/>
    </row>
    <row r="140" spans="1:52" x14ac:dyDescent="0.25">
      <c r="A140" s="1076">
        <v>131</v>
      </c>
      <c r="B140" s="1077" t="s">
        <v>67</v>
      </c>
      <c r="C140" s="1082" t="str">
        <f>C138</f>
        <v>Mat 06</v>
      </c>
      <c r="D140" s="19" t="s">
        <v>782</v>
      </c>
      <c r="E140" s="1071" t="str">
        <f>VLOOKUP(D140,Poeng!$B$10:$R$252,Poeng!E$1,FALSE)</f>
        <v>Mapping for component reuse and implementation</v>
      </c>
      <c r="F140" s="122">
        <f>VLOOKUP(D140,Poeng!$B$10:$AB$252,Poeng!AB$1,FALSE)</f>
        <v>1</v>
      </c>
      <c r="G140" s="43"/>
      <c r="H140" s="123">
        <f>VLOOKUP(D140,Poeng!$B$10:$AE$252,Poeng!AE$1,FALSE)</f>
        <v>0</v>
      </c>
      <c r="I140" s="124" t="str">
        <f>VLOOKUP(D140,Poeng!$B$10:$BE$252,Poeng!BE$1,FALSE)</f>
        <v>Unclassified</v>
      </c>
      <c r="J140" s="80"/>
      <c r="K140" s="281"/>
      <c r="L140" s="796"/>
      <c r="M140" s="816"/>
      <c r="N140" s="83"/>
      <c r="O140" s="123">
        <f>VLOOKUP(D140,Poeng!$B$10:$BC$252,Poeng!AF$1,FALSE)</f>
        <v>0</v>
      </c>
      <c r="P140" s="123" t="str">
        <f>VLOOKUP(D140,Poeng!$B$10:$BH$252,Poeng!BH$1,FALSE)</f>
        <v>Unclassified</v>
      </c>
      <c r="Q140" s="744"/>
      <c r="R140" s="745"/>
      <c r="S140" s="738"/>
      <c r="T140" s="319"/>
      <c r="U140" s="83"/>
      <c r="V140" s="123">
        <f>VLOOKUP(D140,Poeng!$B$10:$BC$252,Poeng!AG$1,FALSE)</f>
        <v>0</v>
      </c>
      <c r="W140" s="123" t="str">
        <f>VLOOKUP(D140,Poeng!$B$10:$BK$252,Poeng!BK$1,FALSE)</f>
        <v>Unclassified</v>
      </c>
      <c r="X140" s="81"/>
      <c r="Y140" s="80"/>
      <c r="Z140" s="738"/>
      <c r="AC140" s="107">
        <f t="shared" si="12"/>
        <v>1</v>
      </c>
      <c r="AD140" s="3" t="e">
        <f>VLOOKUP(K140,'Assessment Details'!$O$45:$P$48,2,FALSE)</f>
        <v>#N/A</v>
      </c>
      <c r="AE140" s="3" t="e">
        <f>VLOOKUP(R140,'Assessment Details'!$O$45:$P$48,2,FALSE)</f>
        <v>#N/A</v>
      </c>
      <c r="AF140" s="3" t="e">
        <f>VLOOKUP(Y140,'Assessment Details'!$O$45:$P$48,2,FALSE)</f>
        <v>#N/A</v>
      </c>
    </row>
    <row r="141" spans="1:52" x14ac:dyDescent="0.25">
      <c r="A141" s="1076">
        <v>132</v>
      </c>
      <c r="B141" s="1077" t="s">
        <v>67</v>
      </c>
      <c r="C141" s="1082" t="str">
        <f t="shared" si="19"/>
        <v>Mat 06</v>
      </c>
      <c r="D141" s="19" t="s">
        <v>783</v>
      </c>
      <c r="E141" s="861" t="str">
        <f>VLOOKUP(D141,Poeng!$B$10:$R$252,Poeng!E$1,FALSE)</f>
        <v>Material efficency</v>
      </c>
      <c r="F141" s="122">
        <f>VLOOKUP(D141,Poeng!$B$10:$AB$252,Poeng!AB$1,FALSE)</f>
        <v>1</v>
      </c>
      <c r="G141" s="43"/>
      <c r="H141" s="123">
        <f>VLOOKUP(D141,Poeng!$B$10:$AE$252,Poeng!AE$1,FALSE)</f>
        <v>0</v>
      </c>
      <c r="I141" s="124" t="str">
        <f>VLOOKUP(D141,Poeng!$B$10:$BE$252,Poeng!BE$1,FALSE)</f>
        <v>N/A</v>
      </c>
      <c r="J141" s="80"/>
      <c r="K141" s="281"/>
      <c r="L141" s="796"/>
      <c r="M141" s="816"/>
      <c r="N141" s="83"/>
      <c r="O141" s="123">
        <f>VLOOKUP(D141,Poeng!$B$10:$BC$252,Poeng!AF$1,FALSE)</f>
        <v>0</v>
      </c>
      <c r="P141" s="123" t="str">
        <f>VLOOKUP(D141,Poeng!$B$10:$BH$252,Poeng!BH$1,FALSE)</f>
        <v>N/A</v>
      </c>
      <c r="Q141" s="744"/>
      <c r="R141" s="745"/>
      <c r="S141" s="738"/>
      <c r="T141" s="319"/>
      <c r="U141" s="83"/>
      <c r="V141" s="123">
        <f>VLOOKUP(D141,Poeng!$B$10:$BC$252,Poeng!AG$1,FALSE)</f>
        <v>0</v>
      </c>
      <c r="W141" s="123" t="str">
        <f>VLOOKUP(D141,Poeng!$B$10:$BK$252,Poeng!BK$1,FALSE)</f>
        <v>N/A</v>
      </c>
      <c r="X141" s="81"/>
      <c r="Y141" s="80"/>
      <c r="Z141" s="738"/>
      <c r="AC141" s="107">
        <f t="shared" si="12"/>
        <v>1</v>
      </c>
      <c r="AD141" s="3" t="e">
        <f>VLOOKUP(K141,'Assessment Details'!$O$45:$P$48,2,FALSE)</f>
        <v>#N/A</v>
      </c>
      <c r="AE141" s="3" t="e">
        <f>VLOOKUP(R141,'Assessment Details'!$O$45:$P$48,2,FALSE)</f>
        <v>#N/A</v>
      </c>
      <c r="AF141" s="3" t="e">
        <f>VLOOKUP(Y141,'Assessment Details'!$O$45:$P$48,2,FALSE)</f>
        <v>#N/A</v>
      </c>
    </row>
    <row r="142" spans="1:52" x14ac:dyDescent="0.25">
      <c r="A142" s="1076">
        <v>133</v>
      </c>
      <c r="B142" s="1077" t="s">
        <v>67</v>
      </c>
      <c r="C142" s="1082" t="str">
        <f t="shared" si="19"/>
        <v>Mat 06</v>
      </c>
      <c r="D142" s="19" t="s">
        <v>784</v>
      </c>
      <c r="E142" s="861" t="str">
        <f>VLOOKUP(D142,Poeng!$B$10:$R$252,Poeng!E$1,FALSE)</f>
        <v>Reuse of extern building components</v>
      </c>
      <c r="F142" s="122">
        <f>VLOOKUP(D142,Poeng!$B$10:$AB$252,Poeng!AB$1,FALSE)</f>
        <v>1</v>
      </c>
      <c r="G142" s="43"/>
      <c r="H142" s="123">
        <f>VLOOKUP(D142,Poeng!$B$10:$AE$252,Poeng!AE$1,FALSE)</f>
        <v>0</v>
      </c>
      <c r="I142" s="124" t="str">
        <f>VLOOKUP(D142,Poeng!$B$10:$BE$252,Poeng!BE$1,FALSE)</f>
        <v>N/A</v>
      </c>
      <c r="J142" s="80"/>
      <c r="K142" s="281"/>
      <c r="L142" s="796"/>
      <c r="M142" s="816"/>
      <c r="N142" s="83"/>
      <c r="O142" s="123">
        <f>VLOOKUP(D142,Poeng!$B$10:$BC$252,Poeng!AF$1,FALSE)</f>
        <v>0</v>
      </c>
      <c r="P142" s="123" t="str">
        <f>VLOOKUP(D142,Poeng!$B$10:$BH$252,Poeng!BH$1,FALSE)</f>
        <v>N/A</v>
      </c>
      <c r="Q142" s="744"/>
      <c r="R142" s="745"/>
      <c r="S142" s="738"/>
      <c r="T142" s="319"/>
      <c r="U142" s="83"/>
      <c r="V142" s="123">
        <f>VLOOKUP(D142,Poeng!$B$10:$BC$252,Poeng!AG$1,FALSE)</f>
        <v>0</v>
      </c>
      <c r="W142" s="123" t="str">
        <f>VLOOKUP(D142,Poeng!$B$10:$BK$252,Poeng!BK$1,FALSE)</f>
        <v>N/A</v>
      </c>
      <c r="X142" s="81"/>
      <c r="Y142" s="80"/>
      <c r="Z142" s="738"/>
      <c r="AC142" s="107">
        <f t="shared" si="12"/>
        <v>1</v>
      </c>
      <c r="AD142" s="3" t="e">
        <f>VLOOKUP(K142,'Assessment Details'!$O$45:$P$48,2,FALSE)</f>
        <v>#N/A</v>
      </c>
      <c r="AE142" s="3" t="e">
        <f>VLOOKUP(R142,'Assessment Details'!$O$45:$P$48,2,FALSE)</f>
        <v>#N/A</v>
      </c>
      <c r="AF142" s="3" t="e">
        <f>VLOOKUP(Y142,'Assessment Details'!$O$45:$P$48,2,FALSE)</f>
        <v>#N/A</v>
      </c>
    </row>
    <row r="143" spans="1:52" x14ac:dyDescent="0.25">
      <c r="A143" s="1076">
        <v>134</v>
      </c>
      <c r="B143" s="1077" t="s">
        <v>67</v>
      </c>
      <c r="C143" s="924" t="s">
        <v>478</v>
      </c>
      <c r="D143" s="824" t="s">
        <v>478</v>
      </c>
      <c r="E143" s="860" t="str">
        <f>VLOOKUP(D143,Poeng!$B$10:$R$252,Poeng!E$1,FALSE)</f>
        <v>Mat 07 Design for disassembly and adaptability</v>
      </c>
      <c r="F143" s="865">
        <f>VLOOKUP(D143,Poeng!$B$10:$AB$252,Poeng!AB$1,FALSE)</f>
        <v>3</v>
      </c>
      <c r="G143" s="1001"/>
      <c r="H143" s="866" t="str">
        <f>VLOOKUP(D143,Poeng!$B$10:$AI$252,Poeng!AI$1,FALSE)&amp;" c. "&amp;ROUND(VLOOKUP(D143,Poeng!$B$10:$AE$252,Poeng!AE$1,FALSE)*100,1)&amp;" %"</f>
        <v>0 c. 0 %</v>
      </c>
      <c r="I143" s="924" t="str">
        <f>VLOOKUP(D143,Poeng!$B$10:$BE$252,Poeng!BE$1,FALSE)</f>
        <v>N/A</v>
      </c>
      <c r="J143" s="80"/>
      <c r="K143" s="281"/>
      <c r="L143" s="796"/>
      <c r="M143" s="816"/>
      <c r="N143" s="1001"/>
      <c r="O143" s="877" t="str">
        <f>VLOOKUP(D143,Poeng!$B$10:$BC$252,Poeng!AJ$1,FALSE)&amp;" c. "&amp;ROUND(VLOOKUP(D143,Poeng!$B$10:$BC$252,Poeng!AF$1,FALSE)*100,1)&amp;" %"</f>
        <v>0 c. 0 %</v>
      </c>
      <c r="P143" s="123" t="str">
        <f>VLOOKUP(D143,Poeng!$B$10:$BH$252,Poeng!BH$1,FALSE)</f>
        <v>N/A</v>
      </c>
      <c r="Q143" s="744"/>
      <c r="R143" s="745"/>
      <c r="S143" s="738"/>
      <c r="T143" s="319"/>
      <c r="U143" s="1001"/>
      <c r="V143" s="877" t="str">
        <f>VLOOKUP(D143,Poeng!$B$10:$BC$252,Poeng!AK$1,FALSE)&amp;" c. "&amp;ROUND(VLOOKUP(D143,Poeng!$B$10:$BC$252,Poeng!AG$1,FALSE)*100,1)&amp;" %"</f>
        <v>0 c. 0 %</v>
      </c>
      <c r="W143" s="123" t="str">
        <f>VLOOKUP(D143,Poeng!$B$10:$BK$252,Poeng!BK$1,FALSE)</f>
        <v>N/A</v>
      </c>
      <c r="X143" s="81"/>
      <c r="Y143" s="80"/>
      <c r="Z143" s="738"/>
      <c r="AA143" s="133"/>
      <c r="AB143" s="714"/>
      <c r="AC143" s="107">
        <f t="shared" si="12"/>
        <v>1</v>
      </c>
      <c r="AD143" s="3" t="e">
        <f>VLOOKUP(K143,'Assessment Details'!$O$45:$P$48,2,FALSE)</f>
        <v>#N/A</v>
      </c>
      <c r="AE143" s="3" t="e">
        <f>VLOOKUP(R143,'Assessment Details'!$O$45:$P$48,2,FALSE)</f>
        <v>#N/A</v>
      </c>
      <c r="AF143" s="3" t="e">
        <f>VLOOKUP(Y143,'Assessment Details'!$O$45:$P$48,2,FALSE)</f>
        <v>#N/A</v>
      </c>
      <c r="AI143" s="70"/>
      <c r="AJ143" s="671"/>
      <c r="AK143" s="648"/>
      <c r="AL143" s="648"/>
      <c r="AM143" s="648"/>
      <c r="AN143" s="70"/>
      <c r="AO143" s="70"/>
      <c r="AP143" s="70"/>
      <c r="AS143" s="23"/>
      <c r="AT143" s="23"/>
      <c r="AU143" s="23"/>
      <c r="AV143" s="23"/>
      <c r="AW143" s="23"/>
      <c r="AX143" s="23"/>
      <c r="AZ143" s="715"/>
    </row>
    <row r="144" spans="1:52" x14ac:dyDescent="0.25">
      <c r="A144" s="1076">
        <v>135</v>
      </c>
      <c r="B144" s="1077" t="s">
        <v>67</v>
      </c>
      <c r="C144" s="1082" t="str">
        <f t="shared" si="19"/>
        <v>Mat 07</v>
      </c>
      <c r="D144" s="19" t="s">
        <v>785</v>
      </c>
      <c r="E144" s="861" t="str">
        <f>VLOOKUP(D144,Poeng!$B$10:$R$252,Poeng!E$1,FALSE)</f>
        <v>Resource inventory</v>
      </c>
      <c r="F144" s="122">
        <f>VLOOKUP(D144,Poeng!$B$10:$AB$252,Poeng!AB$1,FALSE)</f>
        <v>1</v>
      </c>
      <c r="G144" s="43"/>
      <c r="H144" s="123">
        <f>VLOOKUP(D144,Poeng!$B$10:$AE$252,Poeng!AE$1,FALSE)</f>
        <v>0</v>
      </c>
      <c r="I144" s="124" t="str">
        <f>VLOOKUP(D144,Poeng!$B$10:$BE$252,Poeng!BE$1,FALSE)</f>
        <v>N/A</v>
      </c>
      <c r="J144" s="80"/>
      <c r="K144" s="281"/>
      <c r="L144" s="796"/>
      <c r="M144" s="816"/>
      <c r="N144" s="83"/>
      <c r="O144" s="123">
        <f>VLOOKUP(D144,Poeng!$B$10:$BC$252,Poeng!AF$1,FALSE)</f>
        <v>0</v>
      </c>
      <c r="P144" s="123" t="str">
        <f>VLOOKUP(D144,Poeng!$B$10:$BH$252,Poeng!BH$1,FALSE)</f>
        <v>N/A</v>
      </c>
      <c r="Q144" s="744"/>
      <c r="R144" s="745"/>
      <c r="S144" s="738"/>
      <c r="T144" s="319"/>
      <c r="U144" s="83"/>
      <c r="V144" s="123">
        <f>VLOOKUP(D144,Poeng!$B$10:$BC$252,Poeng!AG$1,FALSE)</f>
        <v>0</v>
      </c>
      <c r="W144" s="123" t="str">
        <f>VLOOKUP(D144,Poeng!$B$10:$BK$252,Poeng!BK$1,FALSE)</f>
        <v>N/A</v>
      </c>
      <c r="X144" s="81"/>
      <c r="Y144" s="80"/>
      <c r="Z144" s="738"/>
      <c r="AC144" s="107">
        <f t="shared" si="12"/>
        <v>1</v>
      </c>
      <c r="AD144" s="3" t="e">
        <f>VLOOKUP(K144,'Assessment Details'!$O$45:$P$48,2,FALSE)</f>
        <v>#N/A</v>
      </c>
      <c r="AE144" s="3" t="e">
        <f>VLOOKUP(R144,'Assessment Details'!$O$45:$P$48,2,FALSE)</f>
        <v>#N/A</v>
      </c>
      <c r="AF144" s="3" t="e">
        <f>VLOOKUP(Y144,'Assessment Details'!$O$45:$P$48,2,FALSE)</f>
        <v>#N/A</v>
      </c>
    </row>
    <row r="145" spans="1:52" ht="30" x14ac:dyDescent="0.25">
      <c r="A145" s="1076">
        <v>136</v>
      </c>
      <c r="B145" s="1077" t="s">
        <v>67</v>
      </c>
      <c r="C145" s="1087" t="str">
        <f t="shared" si="19"/>
        <v>Mat 07</v>
      </c>
      <c r="D145" s="19" t="s">
        <v>786</v>
      </c>
      <c r="E145" s="1071" t="str">
        <f>VLOOKUP(D145,Poeng!$B$10:$R$252,Poeng!E$1,FALSE)</f>
        <v>Design for disassembly and functional adaptability - recommendations (EU taxonomy requirement: criterion 2-3)</v>
      </c>
      <c r="F145" s="122">
        <f>VLOOKUP(D145,Poeng!$B$10:$AB$252,Poeng!AB$1,FALSE)</f>
        <v>1</v>
      </c>
      <c r="G145" s="43"/>
      <c r="H145" s="123">
        <f>VLOOKUP(D145,Poeng!$B$10:$AE$252,Poeng!AE$1,FALSE)</f>
        <v>0</v>
      </c>
      <c r="I145" s="124" t="str">
        <f>VLOOKUP(D145,Poeng!$B$10:$BE$252,Poeng!BE$1,FALSE)</f>
        <v>Very Good</v>
      </c>
      <c r="J145" s="80"/>
      <c r="K145" s="281"/>
      <c r="L145" s="796"/>
      <c r="M145" s="816"/>
      <c r="N145" s="83"/>
      <c r="O145" s="123">
        <f>VLOOKUP(D145,Poeng!$B$10:$BC$252,Poeng!AF$1,FALSE)</f>
        <v>0</v>
      </c>
      <c r="P145" s="123" t="str">
        <f>VLOOKUP(D145,Poeng!$B$10:$BH$252,Poeng!BH$1,FALSE)</f>
        <v>Very Good</v>
      </c>
      <c r="Q145" s="744"/>
      <c r="R145" s="745"/>
      <c r="S145" s="738"/>
      <c r="T145" s="319"/>
      <c r="U145" s="83"/>
      <c r="V145" s="123">
        <f>VLOOKUP(D145,Poeng!$B$10:$BC$252,Poeng!AG$1,FALSE)</f>
        <v>0</v>
      </c>
      <c r="W145" s="123" t="str">
        <f>VLOOKUP(D145,Poeng!$B$10:$BK$252,Poeng!BK$1,FALSE)</f>
        <v>Very Good</v>
      </c>
      <c r="X145" s="81"/>
      <c r="Y145" s="80"/>
      <c r="Z145" s="738"/>
      <c r="AC145" s="107">
        <f t="shared" ref="AC145:AC213" si="21">IF(F145="",1,IF(F145=0,2,1))</f>
        <v>1</v>
      </c>
      <c r="AD145" s="3" t="e">
        <f>VLOOKUP(K145,'Assessment Details'!$O$45:$P$48,2,FALSE)</f>
        <v>#N/A</v>
      </c>
      <c r="AE145" s="3" t="e">
        <f>VLOOKUP(R145,'Assessment Details'!$O$45:$P$48,2,FALSE)</f>
        <v>#N/A</v>
      </c>
      <c r="AF145" s="3" t="e">
        <f>VLOOKUP(Y145,'Assessment Details'!$O$45:$P$48,2,FALSE)</f>
        <v>#N/A</v>
      </c>
    </row>
    <row r="146" spans="1:52" ht="30" x14ac:dyDescent="0.25">
      <c r="A146" s="1076">
        <v>137</v>
      </c>
      <c r="B146" s="1077" t="s">
        <v>67</v>
      </c>
      <c r="C146" s="1082" t="str">
        <f t="shared" si="19"/>
        <v>Mat 07</v>
      </c>
      <c r="D146" s="19" t="s">
        <v>787</v>
      </c>
      <c r="E146" s="1071" t="str">
        <f>VLOOKUP(D146,Poeng!$B$10:$R$252,Poeng!E$1,FALSE)</f>
        <v>Disassembly and functional adaptability - implementation (EU taxonomy requirement: criterion 4-6)</v>
      </c>
      <c r="F146" s="122">
        <f>VLOOKUP(D146,Poeng!$B$10:$AB$252,Poeng!AB$1,FALSE)</f>
        <v>1</v>
      </c>
      <c r="G146" s="43"/>
      <c r="H146" s="123">
        <f>VLOOKUP(D146,Poeng!$B$10:$AE$252,Poeng!AE$1,FALSE)</f>
        <v>0</v>
      </c>
      <c r="I146" s="124" t="str">
        <f>VLOOKUP(D146,Poeng!$B$10:$BE$252,Poeng!BE$1,FALSE)</f>
        <v>Very Good</v>
      </c>
      <c r="J146" s="80"/>
      <c r="K146" s="281"/>
      <c r="L146" s="796"/>
      <c r="M146" s="816"/>
      <c r="N146" s="83"/>
      <c r="O146" s="123">
        <f>VLOOKUP(D146,Poeng!$B$10:$BC$252,Poeng!AF$1,FALSE)</f>
        <v>0</v>
      </c>
      <c r="P146" s="123" t="str">
        <f>VLOOKUP(D146,Poeng!$B$10:$BH$252,Poeng!BH$1,FALSE)</f>
        <v>Very Good</v>
      </c>
      <c r="Q146" s="744"/>
      <c r="R146" s="745"/>
      <c r="S146" s="738"/>
      <c r="T146" s="319"/>
      <c r="U146" s="83"/>
      <c r="V146" s="123">
        <f>VLOOKUP(D146,Poeng!$B$10:$BC$252,Poeng!AG$1,FALSE)</f>
        <v>0</v>
      </c>
      <c r="W146" s="123" t="str">
        <f>VLOOKUP(D146,Poeng!$B$10:$BK$252,Poeng!BK$1,FALSE)</f>
        <v>Very Good</v>
      </c>
      <c r="X146" s="81"/>
      <c r="Y146" s="80"/>
      <c r="Z146" s="738"/>
      <c r="AC146" s="107">
        <f t="shared" si="21"/>
        <v>1</v>
      </c>
      <c r="AD146" s="3" t="e">
        <f>VLOOKUP(K146,'Assessment Details'!$O$45:$P$48,2,FALSE)</f>
        <v>#N/A</v>
      </c>
      <c r="AE146" s="3" t="e">
        <f>VLOOKUP(R146,'Assessment Details'!$O$45:$P$48,2,FALSE)</f>
        <v>#N/A</v>
      </c>
      <c r="AF146" s="3" t="e">
        <f>VLOOKUP(Y146,'Assessment Details'!$O$45:$P$48,2,FALSE)</f>
        <v>#N/A</v>
      </c>
    </row>
    <row r="147" spans="1:52" ht="15.75" thickBot="1" x14ac:dyDescent="0.3">
      <c r="A147" s="1076">
        <v>138</v>
      </c>
      <c r="B147" s="1077" t="s">
        <v>67</v>
      </c>
      <c r="C147" s="1083"/>
      <c r="D147" s="824" t="s">
        <v>886</v>
      </c>
      <c r="E147" s="320" t="s">
        <v>107</v>
      </c>
      <c r="F147" s="125">
        <f>Mat_Credits</f>
        <v>21</v>
      </c>
      <c r="G147" s="131"/>
      <c r="H147" s="126">
        <f>Mat_cont_tot</f>
        <v>0</v>
      </c>
      <c r="I147" s="867" t="str">
        <f>"Credits achieved: "&amp;Mat_tot_user</f>
        <v>Credits achieved: 0</v>
      </c>
      <c r="J147" s="134"/>
      <c r="K147" s="282"/>
      <c r="L147" s="746"/>
      <c r="M147" s="816"/>
      <c r="N147" s="383"/>
      <c r="O147" s="126">
        <f>VLOOKUP(D147,Poeng!$B$10:$BC$252,Poeng!AF$1,FALSE)</f>
        <v>0</v>
      </c>
      <c r="P147" s="867" t="str">
        <f>"Credits achieved: "&amp;Mat_c_user</f>
        <v>Credits achieved: 0</v>
      </c>
      <c r="Q147" s="747"/>
      <c r="R147" s="748"/>
      <c r="S147" s="746"/>
      <c r="T147" s="319"/>
      <c r="U147" s="383"/>
      <c r="V147" s="126">
        <f>VLOOKUP(D147,Poeng!$B$10:$BC$252,Poeng!AG$1,FALSE)</f>
        <v>0</v>
      </c>
      <c r="W147" s="867" t="str">
        <f>"Credits achieved: "&amp;Mat_d_user</f>
        <v>Credits achieved: 0</v>
      </c>
      <c r="X147" s="382"/>
      <c r="Y147" s="136"/>
      <c r="Z147" s="746"/>
      <c r="AA147" s="133"/>
      <c r="AB147" s="641"/>
      <c r="AC147" s="107">
        <f t="shared" si="21"/>
        <v>1</v>
      </c>
      <c r="AD147" s="276">
        <v>0</v>
      </c>
      <c r="AE147" s="276">
        <v>0</v>
      </c>
      <c r="AF147" s="276">
        <v>0</v>
      </c>
      <c r="AI147" s="70"/>
      <c r="AJ147" s="671" t="s">
        <v>107</v>
      </c>
      <c r="AK147" s="70"/>
      <c r="AL147" s="70"/>
      <c r="AM147" s="70"/>
      <c r="AN147" s="70"/>
      <c r="AO147" s="70"/>
      <c r="AP147" s="70"/>
      <c r="AS147" s="23" t="str">
        <f t="shared" si="13"/>
        <v>N/A</v>
      </c>
      <c r="AT147" s="23" t="str">
        <f t="shared" si="14"/>
        <v>N/A</v>
      </c>
      <c r="AU147" s="23" t="str">
        <f t="shared" si="15"/>
        <v>N/A</v>
      </c>
      <c r="AV147" s="23"/>
      <c r="AW147" s="23"/>
      <c r="AX147" s="23"/>
      <c r="AZ147" s="641"/>
    </row>
    <row r="148" spans="1:52" x14ac:dyDescent="0.25">
      <c r="A148" s="1076">
        <v>139</v>
      </c>
      <c r="B148" s="1077" t="s">
        <v>67</v>
      </c>
      <c r="C148" s="1085"/>
      <c r="D148" s="824"/>
      <c r="E148" s="334"/>
      <c r="F148" s="322"/>
      <c r="G148" s="323"/>
      <c r="H148" s="322"/>
      <c r="I148" s="322"/>
      <c r="J148" s="324"/>
      <c r="K148" s="323"/>
      <c r="L148" s="749"/>
      <c r="M148" s="815"/>
      <c r="N148" s="325"/>
      <c r="O148" s="325"/>
      <c r="P148" s="749"/>
      <c r="Q148" s="749"/>
      <c r="R148" s="750"/>
      <c r="S148" s="1094"/>
      <c r="T148" s="326"/>
      <c r="U148" s="325"/>
      <c r="V148" s="325"/>
      <c r="W148" s="749"/>
      <c r="X148" s="324"/>
      <c r="Y148" s="325"/>
      <c r="Z148" s="1094"/>
      <c r="AA148" s="699"/>
      <c r="AB148" s="324"/>
      <c r="AC148" s="107">
        <f t="shared" si="21"/>
        <v>1</v>
      </c>
      <c r="AD148" s="278">
        <v>0</v>
      </c>
      <c r="AE148" s="278">
        <v>0</v>
      </c>
      <c r="AF148" s="278">
        <v>0</v>
      </c>
      <c r="AI148" s="70"/>
      <c r="AJ148" s="671"/>
      <c r="AK148" s="70"/>
      <c r="AL148" s="70"/>
      <c r="AM148" s="70"/>
      <c r="AN148" s="70"/>
      <c r="AO148" s="70"/>
      <c r="AP148" s="70"/>
      <c r="AS148" s="23" t="str">
        <f t="shared" si="13"/>
        <v>N/A</v>
      </c>
      <c r="AT148" s="23" t="str">
        <f t="shared" si="14"/>
        <v>N/A</v>
      </c>
      <c r="AU148" s="23" t="str">
        <f t="shared" si="15"/>
        <v>N/A</v>
      </c>
      <c r="AV148" s="23"/>
      <c r="AW148" s="23"/>
      <c r="AX148" s="23"/>
      <c r="AZ148" s="324"/>
    </row>
    <row r="149" spans="1:52" ht="18.75" x14ac:dyDescent="0.25">
      <c r="A149" s="1076">
        <v>140</v>
      </c>
      <c r="B149" s="1077" t="s">
        <v>68</v>
      </c>
      <c r="C149" s="1086"/>
      <c r="D149" s="824"/>
      <c r="E149" s="335" t="s">
        <v>55</v>
      </c>
      <c r="F149" s="315"/>
      <c r="G149" s="316"/>
      <c r="H149" s="336"/>
      <c r="I149" s="315"/>
      <c r="J149" s="328"/>
      <c r="K149" s="329"/>
      <c r="L149" s="752"/>
      <c r="M149" s="816"/>
      <c r="N149" s="339"/>
      <c r="O149" s="332"/>
      <c r="P149" s="742"/>
      <c r="Q149" s="753"/>
      <c r="R149" s="754"/>
      <c r="S149" s="755"/>
      <c r="T149" s="319"/>
      <c r="U149" s="339"/>
      <c r="V149" s="338"/>
      <c r="W149" s="742"/>
      <c r="X149" s="328"/>
      <c r="Y149" s="338"/>
      <c r="Z149" s="752"/>
      <c r="AA149" s="133"/>
      <c r="AB149" s="337"/>
      <c r="AC149" s="107">
        <f t="shared" si="21"/>
        <v>1</v>
      </c>
      <c r="AD149" s="275">
        <v>0</v>
      </c>
      <c r="AE149" s="275">
        <v>0</v>
      </c>
      <c r="AF149" s="275">
        <v>0</v>
      </c>
      <c r="AI149" s="70"/>
      <c r="AJ149" s="671" t="s">
        <v>55</v>
      </c>
      <c r="AK149" s="70"/>
      <c r="AL149" s="70"/>
      <c r="AM149" s="70"/>
      <c r="AN149" s="70"/>
      <c r="AO149" s="70"/>
      <c r="AP149" s="70"/>
      <c r="AS149" s="23" t="str">
        <f t="shared" si="13"/>
        <v>N/A</v>
      </c>
      <c r="AT149" s="23" t="str">
        <f t="shared" si="14"/>
        <v>N/A</v>
      </c>
      <c r="AU149" s="23" t="str">
        <f t="shared" si="15"/>
        <v>N/A</v>
      </c>
      <c r="AV149" s="23"/>
      <c r="AW149" s="23"/>
      <c r="AX149" s="23"/>
      <c r="AZ149" s="337"/>
    </row>
    <row r="150" spans="1:52" x14ac:dyDescent="0.25">
      <c r="A150" s="1076">
        <v>141</v>
      </c>
      <c r="B150" s="1077" t="s">
        <v>68</v>
      </c>
      <c r="C150" s="924" t="s">
        <v>176</v>
      </c>
      <c r="D150" s="824" t="s">
        <v>176</v>
      </c>
      <c r="E150" s="860" t="str">
        <f>VLOOKUP(D150,Poeng!$B$10:$R$252,Poeng!E$1,FALSE)</f>
        <v>Wst 01 Construction waste management</v>
      </c>
      <c r="F150" s="865">
        <f>VLOOKUP(D150,Poeng!$B$10:$AB$252,Poeng!AB$1,FALSE)</f>
        <v>5</v>
      </c>
      <c r="G150" s="1000"/>
      <c r="H150" s="866" t="str">
        <f>VLOOKUP(D150,Poeng!$B$10:$AI$252,Poeng!AI$1,FALSE)&amp;" c. "&amp;ROUND(VLOOKUP(D150,Poeng!$B$10:$AE$252,Poeng!AE$1,FALSE)*100,1)&amp;" %"</f>
        <v>0 c. 0 %</v>
      </c>
      <c r="I150" s="923" t="str">
        <f>VLOOKUP(D150,Poeng!$B$10:$BE$252,Poeng!BE$1,FALSE)</f>
        <v>N/A</v>
      </c>
      <c r="J150" s="874"/>
      <c r="K150" s="875"/>
      <c r="L150" s="876"/>
      <c r="M150" s="815"/>
      <c r="N150" s="1001"/>
      <c r="O150" s="1093" t="str">
        <f>VLOOKUP(D150,Poeng!$B$10:$BC$252,Poeng!AJ$1,FALSE)&amp;" c. "&amp;ROUND(VLOOKUP(D150,Poeng!$B$10:$BC$252,Poeng!AF$1,FALSE)*100,1)&amp;" %"</f>
        <v>0 c. 0 %</v>
      </c>
      <c r="P150" s="123" t="str">
        <f>VLOOKUP(D150,Poeng!$B$10:$BH$252,Poeng!BH$1,FALSE)</f>
        <v>N/A</v>
      </c>
      <c r="Q150" s="744"/>
      <c r="R150" s="745"/>
      <c r="S150" s="738"/>
      <c r="T150" s="319"/>
      <c r="U150" s="1001"/>
      <c r="V150" s="877" t="str">
        <f>VLOOKUP(D150,Poeng!$B$10:$BC$252,Poeng!AK$1,FALSE)&amp;" c. "&amp;ROUND(VLOOKUP(D150,Poeng!$B$10:$BC$252,Poeng!AG$1,FALSE)*100,1)&amp;" %"</f>
        <v>0 c. 0 %</v>
      </c>
      <c r="W150" s="123" t="str">
        <f>VLOOKUP(D150,Poeng!$B$10:$BK$252,Poeng!BK$1,FALSE)</f>
        <v>N/A</v>
      </c>
      <c r="X150" s="81"/>
      <c r="Y150" s="80"/>
      <c r="Z150" s="738"/>
      <c r="AA150" s="133"/>
      <c r="AB150" s="640" t="s">
        <v>14</v>
      </c>
      <c r="AC150" s="107">
        <f t="shared" si="21"/>
        <v>1</v>
      </c>
      <c r="AD150" s="3" t="e">
        <f>VLOOKUP(K150,'Assessment Details'!$O$45:$P$48,2,FALSE)</f>
        <v>#N/A</v>
      </c>
      <c r="AE150" s="3" t="e">
        <f>VLOOKUP(R150,'Assessment Details'!$O$45:$P$48,2,FALSE)</f>
        <v>#N/A</v>
      </c>
      <c r="AF150" s="3" t="e">
        <f>VLOOKUP(Y150,'Assessment Details'!$O$45:$P$48,2,FALSE)</f>
        <v>#N/A</v>
      </c>
      <c r="AI150" s="70"/>
      <c r="AJ150" s="671" t="s">
        <v>158</v>
      </c>
      <c r="AK150" s="70"/>
      <c r="AL150" s="70"/>
      <c r="AM150" s="70"/>
      <c r="AN150" s="70"/>
      <c r="AO150" s="70"/>
      <c r="AP150" s="70"/>
      <c r="AS150" s="23" t="str">
        <f t="shared" si="13"/>
        <v>N/A</v>
      </c>
      <c r="AT150" s="23" t="str">
        <f t="shared" si="14"/>
        <v>N/A</v>
      </c>
      <c r="AU150" s="23" t="str">
        <f t="shared" si="15"/>
        <v>N/A</v>
      </c>
      <c r="AV150" s="23"/>
      <c r="AW150" s="23"/>
      <c r="AX150" s="23"/>
      <c r="AZ150" s="640"/>
    </row>
    <row r="151" spans="1:52" x14ac:dyDescent="0.25">
      <c r="A151" s="1076">
        <v>142</v>
      </c>
      <c r="B151" s="1077" t="s">
        <v>68</v>
      </c>
      <c r="C151" s="1082" t="str">
        <f>C150</f>
        <v>Wst 01</v>
      </c>
      <c r="D151" s="824" t="s">
        <v>788</v>
      </c>
      <c r="E151" s="861" t="str">
        <f>VLOOKUP(D151,Poeng!$B$10:$R$259,Poeng!E$1,FALSE)</f>
        <v>Resource managment plan</v>
      </c>
      <c r="F151" s="122">
        <f>VLOOKUP(D151,Poeng!$B$10:$AB$259,Poeng!AB$1,FALSE)</f>
        <v>1</v>
      </c>
      <c r="G151" s="43"/>
      <c r="H151" s="123">
        <f>VLOOKUP(D151,Poeng!$B$10:$AE$259,Poeng!AE$1,FALSE)</f>
        <v>0</v>
      </c>
      <c r="I151" s="124" t="str">
        <f>VLOOKUP(D151,Poeng!$B$10:$BE$259,Poeng!BE$1,FALSE)</f>
        <v>Good</v>
      </c>
      <c r="J151" s="1119"/>
      <c r="K151" s="1120"/>
      <c r="L151" s="1121"/>
      <c r="M151" s="815"/>
      <c r="N151" s="83"/>
      <c r="O151" s="123">
        <f>VLOOKUP(D151,Poeng!$B$10:$BC$259,Poeng!AF$1,FALSE)</f>
        <v>0</v>
      </c>
      <c r="P151" s="123" t="str">
        <f>VLOOKUP(D151,Poeng!$B$10:$BH$259,Poeng!BH$1,FALSE)</f>
        <v>Good</v>
      </c>
      <c r="Q151" s="744"/>
      <c r="R151" s="745"/>
      <c r="S151" s="738"/>
      <c r="T151" s="319"/>
      <c r="U151" s="83"/>
      <c r="V151" s="123">
        <f>VLOOKUP(D151,Poeng!$B$10:$BC$259,Poeng!AG$1,FALSE)</f>
        <v>0</v>
      </c>
      <c r="W151" s="123" t="str">
        <f>VLOOKUP(D151,Poeng!$B$10:$BK$259,Poeng!BK$1,FALSE)</f>
        <v>Good</v>
      </c>
      <c r="X151" s="81"/>
      <c r="Y151" s="80"/>
      <c r="Z151" s="738"/>
      <c r="AA151" s="133"/>
      <c r="AB151" s="864"/>
      <c r="AC151" s="107">
        <f t="shared" ref="AC151" si="22">IF(F151="",1,IF(F151=0,2,1))</f>
        <v>1</v>
      </c>
      <c r="AD151" s="3" t="e">
        <f>VLOOKUP(K151,'Assessment Details'!$O$45:$P$48,2,FALSE)</f>
        <v>#N/A</v>
      </c>
      <c r="AE151" s="3" t="e">
        <f>VLOOKUP(R151,'Assessment Details'!$O$45:$P$48,2,FALSE)</f>
        <v>#N/A</v>
      </c>
      <c r="AF151" s="3" t="e">
        <f>VLOOKUP(Y151,'Assessment Details'!$O$45:$P$48,2,FALSE)</f>
        <v>#N/A</v>
      </c>
      <c r="AI151" s="3"/>
      <c r="AJ151" s="3"/>
      <c r="AK151" s="3"/>
      <c r="AL151" s="3"/>
      <c r="AM151" s="3"/>
      <c r="AN151" s="3"/>
      <c r="AO151" s="3"/>
      <c r="AP151" s="3"/>
      <c r="AS151" s="23"/>
      <c r="AT151" s="23"/>
      <c r="AU151" s="23"/>
      <c r="AV151" s="23"/>
      <c r="AW151" s="23"/>
      <c r="AX151" s="23"/>
      <c r="AZ151" s="864"/>
    </row>
    <row r="152" spans="1:52" x14ac:dyDescent="0.25">
      <c r="A152" s="1076">
        <v>143</v>
      </c>
      <c r="B152" s="1077" t="s">
        <v>68</v>
      </c>
      <c r="C152" s="1082" t="str">
        <f>C150</f>
        <v>Wst 01</v>
      </c>
      <c r="D152" s="19" t="s">
        <v>1033</v>
      </c>
      <c r="E152" s="1255" t="str">
        <f>VLOOKUP(D152,Poeng!$B$10:$R$259,Poeng!E$1,FALSE)</f>
        <v>EU taxonomy requirement: criterion 1</v>
      </c>
      <c r="F152" s="122" t="str">
        <f>VLOOKUP(D152,Poeng!$B$10:$AB$259,Poeng!AB$1,FALSE)</f>
        <v>Yes/No</v>
      </c>
      <c r="G152" s="43"/>
      <c r="H152" s="123" t="str">
        <f>VLOOKUP(D152,Poeng!$B$10:$AE$259,Poeng!AE$1,FALSE)</f>
        <v>-</v>
      </c>
      <c r="I152" s="124" t="str">
        <f>VLOOKUP(D152,Poeng!$B$10:$BE$259,Poeng!BE$1,FALSE)</f>
        <v>N/A</v>
      </c>
      <c r="J152" s="80"/>
      <c r="K152" s="281"/>
      <c r="L152" s="796"/>
      <c r="M152" s="816"/>
      <c r="N152" s="83"/>
      <c r="O152" s="123" t="str">
        <f>VLOOKUP(D152,Poeng!$B$10:$BC$259,Poeng!AF$1,FALSE)</f>
        <v>-</v>
      </c>
      <c r="P152" s="123" t="str">
        <f>VLOOKUP(D152,Poeng!$B$10:$BH$259,Poeng!BH$1,FALSE)</f>
        <v>N/A</v>
      </c>
      <c r="Q152" s="744"/>
      <c r="R152" s="745"/>
      <c r="S152" s="738"/>
      <c r="T152" s="319"/>
      <c r="U152" s="83"/>
      <c r="V152" s="123" t="str">
        <f>VLOOKUP(D152,Poeng!$B$10:$BC$259,Poeng!AG$1,FALSE)</f>
        <v>-</v>
      </c>
      <c r="W152" s="123" t="str">
        <f>VLOOKUP(D152,Poeng!$B$10:$BK$259,Poeng!BK$1,FALSE)</f>
        <v>N/A</v>
      </c>
      <c r="X152" s="81"/>
      <c r="Y152" s="80"/>
      <c r="Z152" s="738"/>
      <c r="AC152" s="107">
        <f t="shared" si="21"/>
        <v>1</v>
      </c>
      <c r="AD152" s="3" t="e">
        <f>VLOOKUP(K152,'Assessment Details'!$O$45:$P$48,2,FALSE)</f>
        <v>#N/A</v>
      </c>
      <c r="AE152" s="3" t="e">
        <f>VLOOKUP(R152,'Assessment Details'!$O$45:$P$48,2,FALSE)</f>
        <v>#N/A</v>
      </c>
      <c r="AF152" s="3" t="e">
        <f>VLOOKUP(Y152,'Assessment Details'!$O$45:$P$48,2,FALSE)</f>
        <v>#N/A</v>
      </c>
    </row>
    <row r="153" spans="1:52" x14ac:dyDescent="0.25">
      <c r="A153" s="1076">
        <v>144</v>
      </c>
      <c r="B153" s="1077" t="s">
        <v>68</v>
      </c>
      <c r="C153" s="1082" t="str">
        <f t="shared" si="19"/>
        <v>Wst 01</v>
      </c>
      <c r="D153" s="19" t="s">
        <v>789</v>
      </c>
      <c r="E153" s="861" t="str">
        <f>VLOOKUP(D153,Poeng!$B$10:$R$252,Poeng!E$1,FALSE)</f>
        <v>Amount of construction waste</v>
      </c>
      <c r="F153" s="122">
        <f>VLOOKUP(D153,Poeng!$B$10:$AB$252,Poeng!AB$1,FALSE)</f>
        <v>2</v>
      </c>
      <c r="G153" s="43"/>
      <c r="H153" s="123">
        <f>VLOOKUP(D153,Poeng!$B$10:$AE$252,Poeng!AE$1,FALSE)</f>
        <v>0</v>
      </c>
      <c r="I153" s="124" t="str">
        <f>VLOOKUP(D153,Poeng!$B$10:$BE$252,Poeng!BE$1,FALSE)</f>
        <v>Excellent</v>
      </c>
      <c r="J153" s="80"/>
      <c r="K153" s="281"/>
      <c r="L153" s="796"/>
      <c r="M153" s="816"/>
      <c r="N153" s="83"/>
      <c r="O153" s="123">
        <f>VLOOKUP(D153,Poeng!$B$10:$BC$252,Poeng!AF$1,FALSE)</f>
        <v>0</v>
      </c>
      <c r="P153" s="123" t="str">
        <f>VLOOKUP(D153,Poeng!$B$10:$BH$252,Poeng!BH$1,FALSE)</f>
        <v>Excellent</v>
      </c>
      <c r="Q153" s="744"/>
      <c r="R153" s="745"/>
      <c r="S153" s="738"/>
      <c r="T153" s="319"/>
      <c r="U153" s="83"/>
      <c r="V153" s="123">
        <f>VLOOKUP(D153,Poeng!$B$10:$BC$252,Poeng!AG$1,FALSE)</f>
        <v>0</v>
      </c>
      <c r="W153" s="123" t="str">
        <f>VLOOKUP(D153,Poeng!$B$10:$BK$252,Poeng!BK$1,FALSE)</f>
        <v>Excellent</v>
      </c>
      <c r="X153" s="81"/>
      <c r="Y153" s="80"/>
      <c r="Z153" s="738"/>
      <c r="AC153" s="107">
        <f t="shared" si="21"/>
        <v>1</v>
      </c>
      <c r="AD153" s="3" t="e">
        <f>VLOOKUP(K153,'Assessment Details'!$O$45:$P$48,2,FALSE)</f>
        <v>#N/A</v>
      </c>
      <c r="AE153" s="3" t="e">
        <f>VLOOKUP(R153,'Assessment Details'!$O$45:$P$48,2,FALSE)</f>
        <v>#N/A</v>
      </c>
      <c r="AF153" s="3" t="e">
        <f>VLOOKUP(Y153,'Assessment Details'!$O$45:$P$48,2,FALSE)</f>
        <v>#N/A</v>
      </c>
    </row>
    <row r="154" spans="1:52" x14ac:dyDescent="0.25">
      <c r="A154" s="1076">
        <v>145</v>
      </c>
      <c r="B154" s="1077" t="s">
        <v>68</v>
      </c>
      <c r="C154" s="1082" t="str">
        <f t="shared" si="19"/>
        <v>Wst 01</v>
      </c>
      <c r="D154" s="19" t="s">
        <v>790</v>
      </c>
      <c r="E154" s="861" t="str">
        <f>VLOOKUP(D154,Poeng!$B$10:$R$252,Poeng!E$1,FALSE)</f>
        <v>Waste sorting, reuse and recycling</v>
      </c>
      <c r="F154" s="122">
        <f>VLOOKUP(D154,Poeng!$B$10:$AB$252,Poeng!AB$1,FALSE)</f>
        <v>2</v>
      </c>
      <c r="G154" s="43"/>
      <c r="H154" s="123">
        <f>VLOOKUP(D154,Poeng!$B$10:$AE$252,Poeng!AE$1,FALSE)</f>
        <v>0</v>
      </c>
      <c r="I154" s="124" t="str">
        <f>VLOOKUP(D154,Poeng!$B$10:$BE$252,Poeng!BE$1,FALSE)</f>
        <v>Very Good</v>
      </c>
      <c r="J154" s="80"/>
      <c r="K154" s="281"/>
      <c r="L154" s="796"/>
      <c r="M154" s="816"/>
      <c r="N154" s="83"/>
      <c r="O154" s="123">
        <f>VLOOKUP(D154,Poeng!$B$10:$BC$252,Poeng!AF$1,FALSE)</f>
        <v>0</v>
      </c>
      <c r="P154" s="123" t="str">
        <f>VLOOKUP(D154,Poeng!$B$10:$BH$252,Poeng!BH$1,FALSE)</f>
        <v>Very Good</v>
      </c>
      <c r="Q154" s="744"/>
      <c r="R154" s="745"/>
      <c r="S154" s="738"/>
      <c r="T154" s="319"/>
      <c r="U154" s="83"/>
      <c r="V154" s="123">
        <f>VLOOKUP(D154,Poeng!$B$10:$BC$252,Poeng!AG$1,FALSE)</f>
        <v>0</v>
      </c>
      <c r="W154" s="123" t="str">
        <f>VLOOKUP(D154,Poeng!$B$10:$BK$252,Poeng!BK$1,FALSE)</f>
        <v>Very Good</v>
      </c>
      <c r="X154" s="81"/>
      <c r="Y154" s="80"/>
      <c r="Z154" s="738"/>
      <c r="AC154" s="107">
        <f t="shared" si="21"/>
        <v>1</v>
      </c>
      <c r="AD154" s="3" t="e">
        <f>VLOOKUP(K154,'Assessment Details'!$O$45:$P$48,2,FALSE)</f>
        <v>#N/A</v>
      </c>
      <c r="AE154" s="3" t="e">
        <f>VLOOKUP(R154,'Assessment Details'!$O$45:$P$48,2,FALSE)</f>
        <v>#N/A</v>
      </c>
      <c r="AF154" s="3" t="e">
        <f>VLOOKUP(Y154,'Assessment Details'!$O$45:$P$48,2,FALSE)</f>
        <v>#N/A</v>
      </c>
    </row>
    <row r="155" spans="1:52" x14ac:dyDescent="0.25">
      <c r="A155" s="1076">
        <v>146</v>
      </c>
      <c r="B155" s="1077" t="s">
        <v>68</v>
      </c>
      <c r="C155" s="1082" t="str">
        <f t="shared" si="19"/>
        <v>Wst 01</v>
      </c>
      <c r="D155" s="19" t="s">
        <v>986</v>
      </c>
      <c r="E155" s="1255" t="str">
        <f>VLOOKUP(D155,Poeng!$B$10:$R$252,Poeng!E$1,FALSE)</f>
        <v>EU taxonomy requirement: criterion 4, ready for reuse &gt;70%</v>
      </c>
      <c r="F155" s="122" t="str">
        <f>VLOOKUP(D155,Poeng!$B$10:$AB$252,Poeng!AB$1,FALSE)</f>
        <v>Yes/No</v>
      </c>
      <c r="G155" s="43"/>
      <c r="H155" s="123" t="str">
        <f>VLOOKUP(D155,Poeng!$B$10:$AE$252,Poeng!AE$1,FALSE)</f>
        <v>-</v>
      </c>
      <c r="I155" s="124" t="str">
        <f>VLOOKUP(D155,Poeng!$B$10:$BE$252,Poeng!BE$1,FALSE)</f>
        <v>Very Good</v>
      </c>
      <c r="J155" s="80"/>
      <c r="K155" s="281"/>
      <c r="L155" s="796"/>
      <c r="M155" s="816"/>
      <c r="N155" s="83"/>
      <c r="O155" s="123" t="str">
        <f>VLOOKUP(D155,Poeng!$B$10:$BC$252,Poeng!AF$1,FALSE)</f>
        <v>-</v>
      </c>
      <c r="P155" s="123" t="str">
        <f>VLOOKUP(D155,Poeng!$B$10:$BH$252,Poeng!BH$1,FALSE)</f>
        <v>Very Good</v>
      </c>
      <c r="Q155" s="744"/>
      <c r="R155" s="745"/>
      <c r="S155" s="738"/>
      <c r="T155" s="319"/>
      <c r="U155" s="83"/>
      <c r="V155" s="123" t="str">
        <f>VLOOKUP(D155,Poeng!$B$10:$BC$252,Poeng!AG$1,FALSE)</f>
        <v>-</v>
      </c>
      <c r="W155" s="123" t="str">
        <f>VLOOKUP(D155,Poeng!$B$10:$BK$252,Poeng!BK$1,FALSE)</f>
        <v>Very Good</v>
      </c>
      <c r="X155" s="81"/>
      <c r="Y155" s="80"/>
      <c r="Z155" s="738"/>
      <c r="AC155" s="107">
        <f t="shared" ref="AC155" si="23">IF(F155="",1,IF(F155=0,2,1))</f>
        <v>1</v>
      </c>
      <c r="AD155" s="3" t="e">
        <f>VLOOKUP(K155,'Assessment Details'!$O$45:$P$48,2,FALSE)</f>
        <v>#N/A</v>
      </c>
      <c r="AE155" s="3" t="e">
        <f>VLOOKUP(R155,'Assessment Details'!$O$45:$P$48,2,FALSE)</f>
        <v>#N/A</v>
      </c>
      <c r="AF155" s="3" t="e">
        <f>VLOOKUP(Y155,'Assessment Details'!$O$45:$P$48,2,FALSE)</f>
        <v>#N/A</v>
      </c>
    </row>
    <row r="156" spans="1:52" x14ac:dyDescent="0.25">
      <c r="A156" s="1076">
        <v>147</v>
      </c>
      <c r="B156" s="1077" t="s">
        <v>68</v>
      </c>
      <c r="C156" s="924" t="s">
        <v>372</v>
      </c>
      <c r="D156" s="824" t="s">
        <v>372</v>
      </c>
      <c r="E156" s="860" t="str">
        <f>VLOOKUP(D156,Poeng!$B$10:$R$252,Poeng!E$1,FALSE)</f>
        <v>Wst 03a Operational waste</v>
      </c>
      <c r="F156" s="865">
        <f>VLOOKUP(D156,Poeng!$B$10:$AB$252,Poeng!AB$1,FALSE)</f>
        <v>1</v>
      </c>
      <c r="G156" s="1001"/>
      <c r="H156" s="866" t="str">
        <f>VLOOKUP(D156,Poeng!$B$10:$AI$252,Poeng!AI$1,FALSE)&amp;" c. "&amp;ROUND(VLOOKUP(D156,Poeng!$B$10:$AE$252,Poeng!AE$1,FALSE)*100,1)&amp;" %"</f>
        <v>0 c. 0 %</v>
      </c>
      <c r="I156" s="924" t="str">
        <f>VLOOKUP(D156,Poeng!$B$10:$BE$252,Poeng!BE$1,FALSE)</f>
        <v>N/A</v>
      </c>
      <c r="J156" s="80"/>
      <c r="K156" s="281"/>
      <c r="L156" s="796"/>
      <c r="M156" s="816"/>
      <c r="N156" s="1001"/>
      <c r="O156" s="877" t="str">
        <f>VLOOKUP(D156,Poeng!$B$10:$BC$252,Poeng!AJ$1,FALSE)&amp;" c. "&amp;ROUND(VLOOKUP(D156,Poeng!$B$10:$BC$252,Poeng!AF$1,FALSE)*100,1)&amp;" %"</f>
        <v>0 c. 0 %</v>
      </c>
      <c r="P156" s="123" t="str">
        <f>VLOOKUP(D156,Poeng!$B$10:$BH$252,Poeng!BH$1,FALSE)</f>
        <v>N/A</v>
      </c>
      <c r="Q156" s="744"/>
      <c r="R156" s="745"/>
      <c r="S156" s="738"/>
      <c r="T156" s="319"/>
      <c r="U156" s="1001"/>
      <c r="V156" s="877" t="str">
        <f>VLOOKUP(D156,Poeng!$B$10:$BC$252,Poeng!AK$1,FALSE)&amp;" c. "&amp;ROUND(VLOOKUP(D156,Poeng!$B$10:$BC$252,Poeng!AG$1,FALSE)*100,1)&amp;" %"</f>
        <v>0 c. 0 %</v>
      </c>
      <c r="W156" s="123" t="str">
        <f>VLOOKUP(D156,Poeng!$B$10:$BK$252,Poeng!BK$1,FALSE)</f>
        <v>N/A</v>
      </c>
      <c r="X156" s="81"/>
      <c r="Y156" s="80"/>
      <c r="Z156" s="738"/>
      <c r="AA156" s="133"/>
      <c r="AB156" s="640" t="s">
        <v>13</v>
      </c>
      <c r="AC156" s="107">
        <f t="shared" si="21"/>
        <v>1</v>
      </c>
      <c r="AD156" s="3" t="e">
        <f>VLOOKUP(K156,'Assessment Details'!$O$45:$P$48,2,FALSE)</f>
        <v>#N/A</v>
      </c>
      <c r="AE156" s="3" t="e">
        <f>VLOOKUP(R156,'Assessment Details'!$O$45:$P$48,2,FALSE)</f>
        <v>#N/A</v>
      </c>
      <c r="AF156" s="3" t="e">
        <f>VLOOKUP(Y156,'Assessment Details'!$O$45:$P$48,2,FALSE)</f>
        <v>#N/A</v>
      </c>
      <c r="AI156" s="70"/>
      <c r="AJ156" s="671" t="s">
        <v>165</v>
      </c>
      <c r="AK156" s="648" t="s">
        <v>13</v>
      </c>
      <c r="AL156" s="648" t="s">
        <v>12</v>
      </c>
      <c r="AM156" s="70"/>
      <c r="AN156" s="70"/>
      <c r="AO156" s="70"/>
      <c r="AP156" s="70"/>
      <c r="AS156" s="23" t="str">
        <f t="shared" si="13"/>
        <v>N/A</v>
      </c>
      <c r="AT156" s="23" t="str">
        <f t="shared" si="14"/>
        <v>N/A</v>
      </c>
      <c r="AU156" s="23" t="str">
        <f t="shared" si="15"/>
        <v>N/A</v>
      </c>
      <c r="AV156" s="23"/>
      <c r="AW156" s="23"/>
      <c r="AX156" s="23"/>
      <c r="AZ156" s="640"/>
    </row>
    <row r="157" spans="1:52" x14ac:dyDescent="0.25">
      <c r="A157" s="1076">
        <v>148</v>
      </c>
      <c r="B157" s="1077" t="s">
        <v>68</v>
      </c>
      <c r="C157" s="1082" t="str">
        <f t="shared" si="19"/>
        <v>Wst 03a</v>
      </c>
      <c r="D157" s="824" t="s">
        <v>791</v>
      </c>
      <c r="E157" s="861" t="str">
        <f>VLOOKUP(D157,Poeng!$B$10:$R$252,Poeng!E$1,FALSE)</f>
        <v>Operational waste</v>
      </c>
      <c r="F157" s="122">
        <f>VLOOKUP(D157,Poeng!$B$10:$AB$252,Poeng!AB$1,FALSE)</f>
        <v>1</v>
      </c>
      <c r="G157" s="43"/>
      <c r="H157" s="123">
        <f>VLOOKUP(D157,Poeng!$B$10:$AE$252,Poeng!AE$1,FALSE)</f>
        <v>0</v>
      </c>
      <c r="I157" s="124" t="str">
        <f>VLOOKUP(D157,Poeng!$B$10:$BE$252,Poeng!BE$1,FALSE)</f>
        <v>Very Good</v>
      </c>
      <c r="J157" s="80"/>
      <c r="K157" s="281"/>
      <c r="L157" s="796"/>
      <c r="M157" s="816"/>
      <c r="N157" s="83"/>
      <c r="O157" s="123">
        <f>VLOOKUP(D157,Poeng!$B$10:$BC$252,Poeng!AF$1,FALSE)</f>
        <v>0</v>
      </c>
      <c r="P157" s="123" t="str">
        <f>VLOOKUP(D157,Poeng!$B$10:$BH$252,Poeng!BH$1,FALSE)</f>
        <v>Very Good</v>
      </c>
      <c r="Q157" s="744"/>
      <c r="R157" s="745"/>
      <c r="S157" s="738"/>
      <c r="T157" s="319"/>
      <c r="U157" s="83"/>
      <c r="V157" s="123">
        <f>VLOOKUP(D157,Poeng!$B$10:$BC$252,Poeng!AG$1,FALSE)</f>
        <v>0</v>
      </c>
      <c r="W157" s="123" t="str">
        <f>VLOOKUP(D157,Poeng!$B$10:$BK$252,Poeng!BK$1,FALSE)</f>
        <v>Very Good</v>
      </c>
      <c r="X157" s="81"/>
      <c r="Y157" s="80"/>
      <c r="Z157" s="738"/>
      <c r="AA157" s="133"/>
      <c r="AB157" s="640"/>
      <c r="AC157" s="107">
        <f t="shared" si="21"/>
        <v>1</v>
      </c>
      <c r="AD157" s="3" t="e">
        <f>VLOOKUP(K157,'Assessment Details'!$O$45:$P$48,2,FALSE)</f>
        <v>#N/A</v>
      </c>
      <c r="AE157" s="3" t="e">
        <f>VLOOKUP(R157,'Assessment Details'!$O$45:$P$48,2,FALSE)</f>
        <v>#N/A</v>
      </c>
      <c r="AF157" s="3" t="e">
        <f>VLOOKUP(Y157,'Assessment Details'!$O$45:$P$48,2,FALSE)</f>
        <v>#N/A</v>
      </c>
      <c r="AI157" s="70"/>
      <c r="AJ157" s="671"/>
      <c r="AK157" s="648"/>
      <c r="AL157" s="648"/>
      <c r="AM157" s="70"/>
      <c r="AN157" s="70"/>
      <c r="AO157" s="70"/>
      <c r="AP157" s="70"/>
      <c r="AS157" s="23"/>
      <c r="AT157" s="23"/>
      <c r="AU157" s="23"/>
      <c r="AV157" s="23"/>
      <c r="AW157" s="23"/>
      <c r="AX157" s="23"/>
      <c r="AZ157" s="640"/>
    </row>
    <row r="158" spans="1:52" x14ac:dyDescent="0.25">
      <c r="A158" s="1076">
        <v>149</v>
      </c>
      <c r="B158" s="1077" t="s">
        <v>68</v>
      </c>
      <c r="C158" s="924" t="s">
        <v>374</v>
      </c>
      <c r="D158" s="824" t="s">
        <v>374</v>
      </c>
      <c r="E158" s="860" t="str">
        <f>VLOOKUP(D158,Poeng!$B$10:$R$252,Poeng!E$1,FALSE)</f>
        <v>Wst 03b Operational waste</v>
      </c>
      <c r="F158" s="865">
        <f>VLOOKUP(D158,Poeng!$B$10:$AB$252,Poeng!AB$1,FALSE)</f>
        <v>0</v>
      </c>
      <c r="G158" s="1001"/>
      <c r="H158" s="866" t="str">
        <f>VLOOKUP(D158,Poeng!$B$10:$AI$252,Poeng!AI$1,FALSE)&amp;" c. "&amp;ROUND(VLOOKUP(D158,Poeng!$B$10:$AE$252,Poeng!AE$1,FALSE)*100,1)&amp;" %"</f>
        <v>0 c. 0 %</v>
      </c>
      <c r="I158" s="924" t="str">
        <f>VLOOKUP(D158,Poeng!$B$10:$BE$252,Poeng!BE$1,FALSE)</f>
        <v>N/A</v>
      </c>
      <c r="J158" s="80"/>
      <c r="K158" s="281"/>
      <c r="L158" s="796"/>
      <c r="M158" s="816"/>
      <c r="N158" s="1001"/>
      <c r="O158" s="877" t="str">
        <f>VLOOKUP(D158,Poeng!$B$10:$BC$252,Poeng!AJ$1,FALSE)&amp;" c. "&amp;ROUND(VLOOKUP(D158,Poeng!$B$10:$BC$252,Poeng!AF$1,FALSE)*100,1)&amp;" %"</f>
        <v>0 c. 0 %</v>
      </c>
      <c r="P158" s="123" t="str">
        <f>VLOOKUP(D158,Poeng!$B$10:$BH$252,Poeng!BH$1,FALSE)</f>
        <v>N/A</v>
      </c>
      <c r="Q158" s="744"/>
      <c r="R158" s="745"/>
      <c r="S158" s="738"/>
      <c r="T158" s="319"/>
      <c r="U158" s="1001"/>
      <c r="V158" s="877" t="str">
        <f>VLOOKUP(D158,Poeng!$B$10:$BC$252,Poeng!AK$1,FALSE)&amp;" c. "&amp;ROUND(VLOOKUP(D158,Poeng!$B$10:$BC$252,Poeng!AG$1,FALSE)*100,1)&amp;" %"</f>
        <v>0 c. 0 %</v>
      </c>
      <c r="W158" s="123" t="str">
        <f>VLOOKUP(D158,Poeng!$B$10:$BK$252,Poeng!BK$1,FALSE)</f>
        <v>N/A</v>
      </c>
      <c r="X158" s="81"/>
      <c r="Y158" s="80"/>
      <c r="Z158" s="738"/>
      <c r="AA158" s="133"/>
      <c r="AB158" s="640"/>
      <c r="AC158" s="107">
        <f t="shared" si="21"/>
        <v>2</v>
      </c>
      <c r="AD158" s="3" t="e">
        <f>VLOOKUP(K158,'Assessment Details'!$O$45:$P$48,2,FALSE)</f>
        <v>#N/A</v>
      </c>
      <c r="AE158" s="3" t="e">
        <f>VLOOKUP(R158,'Assessment Details'!$O$45:$P$48,2,FALSE)</f>
        <v>#N/A</v>
      </c>
      <c r="AF158" s="3" t="e">
        <f>VLOOKUP(Y158,'Assessment Details'!$O$45:$P$48,2,FALSE)</f>
        <v>#N/A</v>
      </c>
      <c r="AI158" s="70"/>
      <c r="AJ158" s="671"/>
      <c r="AK158" s="648"/>
      <c r="AL158" s="648"/>
      <c r="AM158" s="70"/>
      <c r="AN158" s="70"/>
      <c r="AO158" s="70"/>
      <c r="AP158" s="70"/>
      <c r="AS158" s="23"/>
      <c r="AT158" s="23"/>
      <c r="AU158" s="23"/>
      <c r="AV158" s="23"/>
      <c r="AW158" s="23"/>
      <c r="AX158" s="23"/>
      <c r="AZ158" s="640"/>
    </row>
    <row r="159" spans="1:52" x14ac:dyDescent="0.25">
      <c r="A159" s="1076">
        <v>150</v>
      </c>
      <c r="B159" s="1077" t="s">
        <v>68</v>
      </c>
      <c r="C159" s="1082" t="str">
        <f t="shared" si="19"/>
        <v>Wst 03b</v>
      </c>
      <c r="D159" s="824" t="s">
        <v>792</v>
      </c>
      <c r="E159" s="861" t="str">
        <f>VLOOKUP(D159,Poeng!$B$10:$R$252,Poeng!E$1,FALSE)</f>
        <v>Sorting of waste</v>
      </c>
      <c r="F159" s="122">
        <f>VLOOKUP(D159,Poeng!$B$10:$AB$252,Poeng!AB$1,FALSE)</f>
        <v>0</v>
      </c>
      <c r="G159" s="43"/>
      <c r="H159" s="123">
        <f>VLOOKUP(D159,Poeng!$B$10:$AE$252,Poeng!AE$1,FALSE)</f>
        <v>0</v>
      </c>
      <c r="I159" s="124" t="str">
        <f>VLOOKUP(D159,Poeng!$B$10:$BE$252,Poeng!BE$1,FALSE)</f>
        <v>N/A</v>
      </c>
      <c r="J159" s="80"/>
      <c r="K159" s="281"/>
      <c r="L159" s="796"/>
      <c r="M159" s="816"/>
      <c r="N159" s="83"/>
      <c r="O159" s="123">
        <f>VLOOKUP(D159,Poeng!$B$10:$BC$252,Poeng!AF$1,FALSE)</f>
        <v>0</v>
      </c>
      <c r="P159" s="123" t="str">
        <f>VLOOKUP(D159,Poeng!$B$10:$BH$252,Poeng!BH$1,FALSE)</f>
        <v>N/A</v>
      </c>
      <c r="Q159" s="744"/>
      <c r="R159" s="745"/>
      <c r="S159" s="1095"/>
      <c r="T159" s="319"/>
      <c r="U159" s="83"/>
      <c r="V159" s="123">
        <f>VLOOKUP(D159,Poeng!$B$10:$BC$252,Poeng!AG$1,FALSE)</f>
        <v>0</v>
      </c>
      <c r="W159" s="123" t="str">
        <f>VLOOKUP(D159,Poeng!$B$10:$BK$252,Poeng!BK$1,FALSE)</f>
        <v>N/A</v>
      </c>
      <c r="X159" s="81"/>
      <c r="Y159" s="80"/>
      <c r="Z159" s="1095"/>
      <c r="AA159" s="133"/>
      <c r="AB159" s="640"/>
      <c r="AC159" s="107">
        <f t="shared" si="21"/>
        <v>2</v>
      </c>
      <c r="AD159" s="3" t="e">
        <f>VLOOKUP(K159,'Assessment Details'!$O$45:$P$48,2,FALSE)</f>
        <v>#N/A</v>
      </c>
      <c r="AE159" s="3" t="e">
        <f>VLOOKUP(R159,'Assessment Details'!$O$45:$P$48,2,FALSE)</f>
        <v>#N/A</v>
      </c>
      <c r="AF159" s="3" t="e">
        <f>VLOOKUP(Y159,'Assessment Details'!$O$45:$P$48,2,FALSE)</f>
        <v>#N/A</v>
      </c>
      <c r="AI159" s="70"/>
      <c r="AJ159" s="671"/>
      <c r="AK159" s="648"/>
      <c r="AL159" s="648"/>
      <c r="AM159" s="70"/>
      <c r="AN159" s="70"/>
      <c r="AO159" s="70"/>
      <c r="AP159" s="70"/>
      <c r="AS159" s="23"/>
      <c r="AT159" s="23"/>
      <c r="AU159" s="23"/>
      <c r="AV159" s="23"/>
      <c r="AW159" s="23"/>
      <c r="AX159" s="23"/>
      <c r="AZ159" s="640"/>
    </row>
    <row r="160" spans="1:52" x14ac:dyDescent="0.25">
      <c r="A160" s="1076">
        <v>151</v>
      </c>
      <c r="B160" s="1077" t="s">
        <v>68</v>
      </c>
      <c r="C160" s="924" t="s">
        <v>178</v>
      </c>
      <c r="D160" s="824" t="s">
        <v>178</v>
      </c>
      <c r="E160" s="860" t="str">
        <f>VLOOKUP(D160,Poeng!$B$10:$R$252,Poeng!E$1,FALSE)</f>
        <v>Wst 04 Speculative finishes</v>
      </c>
      <c r="F160" s="865">
        <f>VLOOKUP(D160,Poeng!$B$10:$AB$252,Poeng!AB$1,FALSE)</f>
        <v>1</v>
      </c>
      <c r="G160" s="1001"/>
      <c r="H160" s="866" t="str">
        <f>VLOOKUP(D160,Poeng!$B$10:$AI$252,Poeng!AI$1,FALSE)&amp;" c. "&amp;ROUND(VLOOKUP(D160,Poeng!$B$10:$AE$252,Poeng!AE$1,FALSE)*100,1)&amp;" %"</f>
        <v>0 c. 0 %</v>
      </c>
      <c r="I160" s="924" t="str">
        <f>VLOOKUP(D160,Poeng!$B$10:$BE$252,Poeng!BE$1,FALSE)</f>
        <v>N/A</v>
      </c>
      <c r="J160" s="80"/>
      <c r="K160" s="281"/>
      <c r="L160" s="796"/>
      <c r="M160" s="816"/>
      <c r="N160" s="1001"/>
      <c r="O160" s="877" t="str">
        <f>VLOOKUP(D160,Poeng!$B$10:$BC$252,Poeng!AJ$1,FALSE)&amp;" c. "&amp;ROUND(VLOOKUP(D160,Poeng!$B$10:$BC$252,Poeng!AF$1,FALSE)*100,1)&amp;" %"</f>
        <v>0 c. 0 %</v>
      </c>
      <c r="P160" s="123" t="str">
        <f>VLOOKUP(D160,Poeng!$B$10:$BH$252,Poeng!BH$1,FALSE)</f>
        <v>N/A</v>
      </c>
      <c r="Q160" s="744"/>
      <c r="R160" s="745"/>
      <c r="S160" s="738"/>
      <c r="T160" s="319"/>
      <c r="U160" s="1001"/>
      <c r="V160" s="877" t="str">
        <f>VLOOKUP(D160,Poeng!$B$10:$BC$252,Poeng!AK$1,FALSE)&amp;" c. "&amp;ROUND(VLOOKUP(D160,Poeng!$B$10:$BC$252,Poeng!AG$1,FALSE)*100,1)&amp;" %"</f>
        <v>0 c. 0 %</v>
      </c>
      <c r="W160" s="123" t="str">
        <f>VLOOKUP(D160,Poeng!$B$10:$BK$252,Poeng!BK$1,FALSE)</f>
        <v>N/A</v>
      </c>
      <c r="X160" s="81"/>
      <c r="Y160" s="80"/>
      <c r="Z160" s="738"/>
      <c r="AA160" s="133"/>
      <c r="AB160" s="640" t="s">
        <v>13</v>
      </c>
      <c r="AC160" s="107">
        <f t="shared" si="21"/>
        <v>1</v>
      </c>
      <c r="AD160" s="3" t="e">
        <f>VLOOKUP(K160,'Assessment Details'!$O$45:$P$48,2,FALSE)</f>
        <v>#N/A</v>
      </c>
      <c r="AE160" s="3" t="e">
        <f>VLOOKUP(R160,'Assessment Details'!$O$45:$P$48,2,FALSE)</f>
        <v>#N/A</v>
      </c>
      <c r="AF160" s="3" t="e">
        <f>VLOOKUP(Y160,'Assessment Details'!$O$45:$P$48,2,FALSE)</f>
        <v>#N/A</v>
      </c>
      <c r="AI160" s="70"/>
      <c r="AJ160" s="671" t="s">
        <v>214</v>
      </c>
      <c r="AK160" s="648" t="s">
        <v>13</v>
      </c>
      <c r="AL160" s="648" t="s">
        <v>12</v>
      </c>
      <c r="AM160" s="70"/>
      <c r="AN160" s="70"/>
      <c r="AO160" s="70"/>
      <c r="AP160" s="70"/>
      <c r="AS160" s="23" t="str">
        <f t="shared" si="13"/>
        <v>N/A</v>
      </c>
      <c r="AT160" s="23" t="str">
        <f t="shared" si="14"/>
        <v>N/A</v>
      </c>
      <c r="AU160" s="23" t="str">
        <f t="shared" si="15"/>
        <v>N/A</v>
      </c>
      <c r="AV160" s="23"/>
      <c r="AW160" s="23"/>
      <c r="AX160" s="23"/>
      <c r="AZ160" s="640"/>
    </row>
    <row r="161" spans="1:52" x14ac:dyDescent="0.25">
      <c r="A161" s="1076">
        <v>152</v>
      </c>
      <c r="B161" s="1077" t="s">
        <v>68</v>
      </c>
      <c r="C161" s="1082" t="str">
        <f t="shared" si="19"/>
        <v>Wst 04</v>
      </c>
      <c r="D161" s="824" t="s">
        <v>793</v>
      </c>
      <c r="E161" s="861" t="str">
        <f>VLOOKUP(D161,Poeng!$B$10:$R$252,Poeng!E$1,FALSE)</f>
        <v xml:space="preserve">User involvement surface finishes </v>
      </c>
      <c r="F161" s="122">
        <f>VLOOKUP(D161,Poeng!$B$10:$AB$252,Poeng!AB$1,FALSE)</f>
        <v>1</v>
      </c>
      <c r="G161" s="43"/>
      <c r="H161" s="123">
        <f>VLOOKUP(D161,Poeng!$B$10:$AE$252,Poeng!AE$1,FALSE)</f>
        <v>0</v>
      </c>
      <c r="I161" s="124" t="str">
        <f>VLOOKUP(D161,Poeng!$B$10:$BE$252,Poeng!BE$1,FALSE)</f>
        <v>N/A</v>
      </c>
      <c r="J161" s="80"/>
      <c r="K161" s="281"/>
      <c r="L161" s="796"/>
      <c r="M161" s="816"/>
      <c r="N161" s="83"/>
      <c r="O161" s="123">
        <f>VLOOKUP(D161,Poeng!$B$10:$BC$252,Poeng!AF$1,FALSE)</f>
        <v>0</v>
      </c>
      <c r="P161" s="123" t="str">
        <f>VLOOKUP(D161,Poeng!$B$10:$BH$252,Poeng!BH$1,FALSE)</f>
        <v>N/A</v>
      </c>
      <c r="Q161" s="744"/>
      <c r="R161" s="745"/>
      <c r="S161" s="738"/>
      <c r="T161" s="319"/>
      <c r="U161" s="83"/>
      <c r="V161" s="123">
        <f>VLOOKUP(D161,Poeng!$B$10:$BC$252,Poeng!AG$1,FALSE)</f>
        <v>0</v>
      </c>
      <c r="W161" s="123" t="str">
        <f>VLOOKUP(D161,Poeng!$B$10:$BK$252,Poeng!BK$1,FALSE)</f>
        <v>N/A</v>
      </c>
      <c r="X161" s="81"/>
      <c r="Y161" s="80"/>
      <c r="Z161" s="738"/>
      <c r="AA161" s="133"/>
      <c r="AB161" s="714"/>
      <c r="AC161" s="107">
        <f t="shared" si="21"/>
        <v>1</v>
      </c>
      <c r="AD161" s="3" t="e">
        <f>VLOOKUP(K161,'Assessment Details'!$O$45:$P$48,2,FALSE)</f>
        <v>#N/A</v>
      </c>
      <c r="AE161" s="3" t="e">
        <f>VLOOKUP(R161,'Assessment Details'!$O$45:$P$48,2,FALSE)</f>
        <v>#N/A</v>
      </c>
      <c r="AF161" s="3" t="e">
        <f>VLOOKUP(Y161,'Assessment Details'!$O$45:$P$48,2,FALSE)</f>
        <v>#N/A</v>
      </c>
      <c r="AI161" s="70"/>
      <c r="AJ161" s="671"/>
      <c r="AK161" s="648"/>
      <c r="AL161" s="648"/>
      <c r="AM161" s="70"/>
      <c r="AN161" s="70"/>
      <c r="AO161" s="70"/>
      <c r="AP161" s="70"/>
      <c r="AS161" s="23"/>
      <c r="AT161" s="23"/>
      <c r="AU161" s="23"/>
      <c r="AV161" s="23"/>
      <c r="AW161" s="23"/>
      <c r="AX161" s="23"/>
      <c r="AZ161" s="714"/>
    </row>
    <row r="162" spans="1:52" ht="15.75" thickBot="1" x14ac:dyDescent="0.3">
      <c r="A162" s="1076">
        <v>153</v>
      </c>
      <c r="B162" s="1077" t="s">
        <v>68</v>
      </c>
      <c r="C162" s="1089"/>
      <c r="D162" s="824" t="s">
        <v>887</v>
      </c>
      <c r="E162" s="341" t="s">
        <v>108</v>
      </c>
      <c r="F162" s="125">
        <f>Wst_Credits</f>
        <v>7</v>
      </c>
      <c r="G162" s="131"/>
      <c r="H162" s="126">
        <f>Wst_cont_tot</f>
        <v>0</v>
      </c>
      <c r="I162" s="867" t="str">
        <f>"Credits achieved: "&amp;Wst_tot_user</f>
        <v>Credits achieved: 0</v>
      </c>
      <c r="J162" s="134"/>
      <c r="K162" s="282"/>
      <c r="L162" s="746"/>
      <c r="M162" s="816"/>
      <c r="N162" s="383"/>
      <c r="O162" s="126">
        <f>VLOOKUP(D162,Poeng!$B$10:$BC$252,Poeng!AF$1,FALSE)</f>
        <v>0</v>
      </c>
      <c r="P162" s="867" t="str">
        <f>"Credits achieved: "&amp;Wst_d_user</f>
        <v>Credits achieved: 0</v>
      </c>
      <c r="Q162" s="747"/>
      <c r="R162" s="748"/>
      <c r="S162" s="746"/>
      <c r="T162" s="319"/>
      <c r="U162" s="383"/>
      <c r="V162" s="126">
        <f>VLOOKUP(D162,Poeng!$B$10:$BC$252,Poeng!AG$1,FALSE)</f>
        <v>0</v>
      </c>
      <c r="W162" s="867" t="str">
        <f>"Credits achieved: "&amp;Wst_c_user</f>
        <v>Credits achieved: 0</v>
      </c>
      <c r="X162" s="382"/>
      <c r="Y162" s="136"/>
      <c r="Z162" s="746"/>
      <c r="AA162" s="133"/>
      <c r="AB162" s="641"/>
      <c r="AC162" s="107">
        <f t="shared" si="21"/>
        <v>1</v>
      </c>
      <c r="AD162" s="276">
        <v>0</v>
      </c>
      <c r="AE162" s="276">
        <v>0</v>
      </c>
      <c r="AF162" s="276">
        <v>0</v>
      </c>
      <c r="AI162" s="70"/>
      <c r="AJ162" s="671" t="s">
        <v>108</v>
      </c>
      <c r="AK162" s="70"/>
      <c r="AL162" s="70"/>
      <c r="AM162" s="70"/>
      <c r="AN162" s="70"/>
      <c r="AO162" s="70"/>
      <c r="AP162" s="70"/>
      <c r="AS162" s="23" t="str">
        <f t="shared" si="13"/>
        <v>N/A</v>
      </c>
      <c r="AT162" s="23" t="str">
        <f t="shared" si="14"/>
        <v>N/A</v>
      </c>
      <c r="AU162" s="23" t="str">
        <f t="shared" si="15"/>
        <v>N/A</v>
      </c>
      <c r="AV162" s="23"/>
      <c r="AW162" s="23"/>
      <c r="AX162" s="23"/>
      <c r="AZ162" s="641"/>
    </row>
    <row r="163" spans="1:52" x14ac:dyDescent="0.25">
      <c r="A163" s="1076">
        <v>154</v>
      </c>
      <c r="B163" s="1077" t="s">
        <v>68</v>
      </c>
      <c r="C163" s="1085"/>
      <c r="D163" s="824"/>
      <c r="E163" s="334"/>
      <c r="F163" s="322"/>
      <c r="G163" s="323"/>
      <c r="H163" s="322"/>
      <c r="I163" s="322"/>
      <c r="J163" s="324"/>
      <c r="K163" s="323"/>
      <c r="L163" s="749"/>
      <c r="M163" s="815"/>
      <c r="N163" s="325"/>
      <c r="O163" s="325"/>
      <c r="P163" s="749"/>
      <c r="Q163" s="749"/>
      <c r="R163" s="750"/>
      <c r="S163" s="1094"/>
      <c r="T163" s="326"/>
      <c r="U163" s="325"/>
      <c r="V163" s="325"/>
      <c r="W163" s="749"/>
      <c r="X163" s="324"/>
      <c r="Y163" s="325"/>
      <c r="Z163" s="1094"/>
      <c r="AA163" s="699"/>
      <c r="AB163" s="324"/>
      <c r="AC163" s="107">
        <f t="shared" si="21"/>
        <v>1</v>
      </c>
      <c r="AD163" s="278">
        <v>0</v>
      </c>
      <c r="AE163" s="278">
        <v>0</v>
      </c>
      <c r="AF163" s="278">
        <v>0</v>
      </c>
      <c r="AI163" s="70"/>
      <c r="AJ163" s="671"/>
      <c r="AK163" s="70"/>
      <c r="AL163" s="70"/>
      <c r="AM163" s="70"/>
      <c r="AN163" s="70"/>
      <c r="AO163" s="70"/>
      <c r="AP163" s="70"/>
      <c r="AS163" s="23" t="str">
        <f t="shared" si="13"/>
        <v>N/A</v>
      </c>
      <c r="AT163" s="23" t="str">
        <f t="shared" si="14"/>
        <v>N/A</v>
      </c>
      <c r="AU163" s="23" t="str">
        <f t="shared" si="15"/>
        <v>N/A</v>
      </c>
      <c r="AV163" s="23"/>
      <c r="AW163" s="23"/>
      <c r="AX163" s="23"/>
      <c r="AZ163" s="324"/>
    </row>
    <row r="164" spans="1:52" ht="18.75" x14ac:dyDescent="0.25">
      <c r="A164" s="1076">
        <v>155</v>
      </c>
      <c r="B164" s="1077" t="s">
        <v>69</v>
      </c>
      <c r="C164" s="1086"/>
      <c r="D164" s="824"/>
      <c r="E164" s="335" t="s">
        <v>56</v>
      </c>
      <c r="F164" s="315"/>
      <c r="G164" s="316"/>
      <c r="H164" s="336"/>
      <c r="I164" s="315"/>
      <c r="J164" s="328"/>
      <c r="K164" s="329"/>
      <c r="L164" s="752"/>
      <c r="M164" s="816"/>
      <c r="N164" s="339"/>
      <c r="O164" s="332"/>
      <c r="P164" s="742"/>
      <c r="Q164" s="753"/>
      <c r="R164" s="754"/>
      <c r="S164" s="755"/>
      <c r="T164" s="319"/>
      <c r="U164" s="339"/>
      <c r="V164" s="338"/>
      <c r="W164" s="742"/>
      <c r="X164" s="328"/>
      <c r="Y164" s="338"/>
      <c r="Z164" s="752"/>
      <c r="AA164" s="133"/>
      <c r="AB164" s="337"/>
      <c r="AC164" s="107">
        <f t="shared" si="21"/>
        <v>1</v>
      </c>
      <c r="AD164" s="275">
        <v>0</v>
      </c>
      <c r="AE164" s="275">
        <v>0</v>
      </c>
      <c r="AF164" s="275">
        <v>0</v>
      </c>
      <c r="AI164" s="70"/>
      <c r="AJ164" s="671" t="s">
        <v>56</v>
      </c>
      <c r="AK164" s="70"/>
      <c r="AL164" s="70"/>
      <c r="AM164" s="70"/>
      <c r="AN164" s="70"/>
      <c r="AO164" s="70"/>
      <c r="AP164" s="70"/>
      <c r="AS164" s="23" t="str">
        <f t="shared" ref="AS164:AS228" si="24">IF($AJ$4=ais_nei,AIS_NA,IF(AK164="",AIS_NA,AK164))</f>
        <v>N/A</v>
      </c>
      <c r="AT164" s="23" t="str">
        <f t="shared" ref="AT164:AT228" si="25">IF($AJ$4=ais_nei,AIS_NA,IF(AL164="",AIS_NA,AL164))</f>
        <v>N/A</v>
      </c>
      <c r="AU164" s="23" t="str">
        <f t="shared" ref="AU164:AV228" si="26">IF($AJ$4=ais_nei,AIS_NA,IF(AM164="",AIS_NA,AM164))</f>
        <v>N/A</v>
      </c>
      <c r="AV164" s="23"/>
      <c r="AW164" s="23"/>
      <c r="AX164" s="23"/>
      <c r="AZ164" s="337"/>
    </row>
    <row r="165" spans="1:52" x14ac:dyDescent="0.25">
      <c r="A165" s="1076">
        <v>156</v>
      </c>
      <c r="B165" s="1077" t="s">
        <v>69</v>
      </c>
      <c r="C165" s="924" t="s">
        <v>179</v>
      </c>
      <c r="D165" s="824" t="s">
        <v>179</v>
      </c>
      <c r="E165" s="860" t="str">
        <f>VLOOKUP(D165,Poeng!$B$10:$R$252,Poeng!E$1,FALSE)</f>
        <v>LE 01 Site selection</v>
      </c>
      <c r="F165" s="865">
        <f>VLOOKUP(D165,Poeng!$B$10:$AB$252,Poeng!AB$1,FALSE)</f>
        <v>2</v>
      </c>
      <c r="G165" s="1000"/>
      <c r="H165" s="866" t="str">
        <f>VLOOKUP(D165,Poeng!$B$10:$AI$252,Poeng!AI$1,FALSE)&amp;" c. "&amp;ROUND(VLOOKUP(D165,Poeng!$B$10:$AE$252,Poeng!AE$1,FALSE)*100,1)&amp;" %"</f>
        <v>0 c. 0 %</v>
      </c>
      <c r="I165" s="923" t="str">
        <f>VLOOKUP(D165,Poeng!$B$10:$BE$252,Poeng!BE$1,FALSE)</f>
        <v>N/A</v>
      </c>
      <c r="J165" s="874"/>
      <c r="K165" s="875"/>
      <c r="L165" s="876"/>
      <c r="M165" s="815"/>
      <c r="N165" s="1001"/>
      <c r="O165" s="1093" t="str">
        <f>VLOOKUP(D165,Poeng!$B$10:$BC$252,Poeng!AJ$1,FALSE)&amp;" c. "&amp;ROUND(VLOOKUP(D165,Poeng!$B$10:$BC$252,Poeng!AF$1,FALSE)*100,1)&amp;" %"</f>
        <v>0 c. 0 %</v>
      </c>
      <c r="P165" s="123" t="str">
        <f>VLOOKUP(D165,Poeng!$B$10:$BH$252,Poeng!BH$1,FALSE)</f>
        <v>N/A</v>
      </c>
      <c r="Q165" s="744"/>
      <c r="R165" s="745"/>
      <c r="S165" s="738"/>
      <c r="T165" s="319"/>
      <c r="U165" s="1001"/>
      <c r="V165" s="877" t="str">
        <f>VLOOKUP(D165,Poeng!$B$10:$BC$252,Poeng!AK$1,FALSE)&amp;" c. "&amp;ROUND(VLOOKUP(D165,Poeng!$B$10:$BC$252,Poeng!AG$1,FALSE)*100,1)&amp;" %"</f>
        <v>0 c. 0 %</v>
      </c>
      <c r="W165" s="123" t="str">
        <f>VLOOKUP(D165,Poeng!$B$10:$BK$252,Poeng!BK$1,FALSE)</f>
        <v>N/A</v>
      </c>
      <c r="X165" s="81"/>
      <c r="Y165" s="80"/>
      <c r="Z165" s="738"/>
      <c r="AA165" s="133"/>
      <c r="AB165" s="640" t="s">
        <v>14</v>
      </c>
      <c r="AC165" s="107">
        <f t="shared" si="21"/>
        <v>1</v>
      </c>
      <c r="AD165" s="3" t="e">
        <f>VLOOKUP(K165,'Assessment Details'!$O$45:$P$48,2,FALSE)</f>
        <v>#N/A</v>
      </c>
      <c r="AE165" s="3" t="e">
        <f>VLOOKUP(R165,'Assessment Details'!$O$45:$P$48,2,FALSE)</f>
        <v>#N/A</v>
      </c>
      <c r="AF165" s="3" t="e">
        <f>VLOOKUP(Y165,'Assessment Details'!$O$45:$P$48,2,FALSE)</f>
        <v>#N/A</v>
      </c>
      <c r="AI165" s="70"/>
      <c r="AJ165" s="671" t="s">
        <v>159</v>
      </c>
      <c r="AK165" s="70"/>
      <c r="AL165" s="70"/>
      <c r="AM165" s="70"/>
      <c r="AN165" s="70"/>
      <c r="AO165" s="70"/>
      <c r="AP165" s="70"/>
      <c r="AS165" s="23" t="str">
        <f t="shared" si="24"/>
        <v>N/A</v>
      </c>
      <c r="AT165" s="23" t="str">
        <f t="shared" si="25"/>
        <v>N/A</v>
      </c>
      <c r="AU165" s="23" t="str">
        <f t="shared" si="26"/>
        <v>N/A</v>
      </c>
      <c r="AV165" s="23"/>
      <c r="AW165" s="23"/>
      <c r="AX165" s="23"/>
      <c r="AZ165" s="640"/>
    </row>
    <row r="166" spans="1:52" x14ac:dyDescent="0.25">
      <c r="A166" s="1076">
        <v>157</v>
      </c>
      <c r="B166" s="1077" t="s">
        <v>69</v>
      </c>
      <c r="C166" s="1082" t="str">
        <f t="shared" si="19"/>
        <v>LE 01</v>
      </c>
      <c r="D166" s="824" t="s">
        <v>796</v>
      </c>
      <c r="E166" s="861" t="str">
        <f>VLOOKUP(D166,Poeng!$B$10:$R$252,Poeng!E$1,FALSE)</f>
        <v>Previously occupied land</v>
      </c>
      <c r="F166" s="122">
        <f>VLOOKUP(D166,Poeng!$B$10:$AB$252,Poeng!AB$1,FALSE)</f>
        <v>2</v>
      </c>
      <c r="G166" s="43"/>
      <c r="H166" s="123">
        <f>VLOOKUP(D166,Poeng!$B$10:$AE$252,Poeng!AE$1,FALSE)</f>
        <v>0</v>
      </c>
      <c r="I166" s="124" t="str">
        <f>VLOOKUP(D166,Poeng!$B$10:$BE$252,Poeng!BE$1,FALSE)</f>
        <v>N/A</v>
      </c>
      <c r="J166" s="80"/>
      <c r="K166" s="281"/>
      <c r="L166" s="796"/>
      <c r="M166" s="816"/>
      <c r="N166" s="83"/>
      <c r="O166" s="123">
        <f>VLOOKUP(D166,Poeng!$B$10:$BC$252,Poeng!AF$1,FALSE)</f>
        <v>0</v>
      </c>
      <c r="P166" s="123" t="str">
        <f>VLOOKUP(D166,Poeng!$B$10:$BH$252,Poeng!BH$1,FALSE)</f>
        <v>N/A</v>
      </c>
      <c r="Q166" s="744"/>
      <c r="R166" s="745"/>
      <c r="S166" s="738"/>
      <c r="T166" s="319"/>
      <c r="U166" s="83"/>
      <c r="V166" s="123">
        <f>VLOOKUP(D166,Poeng!$B$10:$BC$252,Poeng!AG$1,FALSE)</f>
        <v>0</v>
      </c>
      <c r="W166" s="123" t="str">
        <f>VLOOKUP(D166,Poeng!$B$10:$BK$252,Poeng!BK$1,FALSE)</f>
        <v>N/A</v>
      </c>
      <c r="X166" s="81"/>
      <c r="Y166" s="80"/>
      <c r="Z166" s="738"/>
      <c r="AA166" s="133"/>
      <c r="AB166" s="640"/>
      <c r="AC166" s="107">
        <f t="shared" si="21"/>
        <v>1</v>
      </c>
      <c r="AD166" s="3" t="e">
        <f>VLOOKUP(K166,'Assessment Details'!$O$45:$P$48,2,FALSE)</f>
        <v>#N/A</v>
      </c>
      <c r="AE166" s="3" t="e">
        <f>VLOOKUP(R166,'Assessment Details'!$O$45:$P$48,2,FALSE)</f>
        <v>#N/A</v>
      </c>
      <c r="AF166" s="3" t="e">
        <f>VLOOKUP(Y166,'Assessment Details'!$O$45:$P$48,2,FALSE)</f>
        <v>#N/A</v>
      </c>
      <c r="AI166" s="70"/>
      <c r="AJ166" s="671"/>
      <c r="AK166" s="70"/>
      <c r="AL166" s="70"/>
      <c r="AM166" s="70"/>
      <c r="AN166" s="70"/>
      <c r="AO166" s="70"/>
      <c r="AP166" s="70"/>
      <c r="AS166" s="23"/>
      <c r="AT166" s="23"/>
      <c r="AU166" s="23"/>
      <c r="AV166" s="23"/>
      <c r="AW166" s="23"/>
      <c r="AX166" s="23"/>
      <c r="AZ166" s="640"/>
    </row>
    <row r="167" spans="1:52" ht="14.25" customHeight="1" x14ac:dyDescent="0.25">
      <c r="A167" s="1076">
        <v>158</v>
      </c>
      <c r="B167" s="1077" t="s">
        <v>69</v>
      </c>
      <c r="C167" s="1082" t="str">
        <f t="shared" si="19"/>
        <v>LE 01</v>
      </c>
      <c r="D167" s="824" t="s">
        <v>987</v>
      </c>
      <c r="E167" s="1071" t="str">
        <f>VLOOKUP(D167,Poeng!$B$10:$R$252,Poeng!E$1,FALSE)</f>
        <v>Minimum req: agricultural area / forest (EU taxonomy requirement: criterion 2)</v>
      </c>
      <c r="F167" s="122" t="str">
        <f>VLOOKUP(D167,Poeng!$B$10:$AB$252,Poeng!AB$1,FALSE)</f>
        <v>Yes/No</v>
      </c>
      <c r="G167" s="43"/>
      <c r="H167" s="123" t="str">
        <f>VLOOKUP(D167,Poeng!$B$10:$AE$252,Poeng!AE$1,FALSE)</f>
        <v>-</v>
      </c>
      <c r="I167" s="124" t="str">
        <f>VLOOKUP(D167,Poeng!$B$10:$BE$252,Poeng!BE$1,FALSE)</f>
        <v>Very Good</v>
      </c>
      <c r="J167" s="80"/>
      <c r="K167" s="281"/>
      <c r="L167" s="796"/>
      <c r="M167" s="816"/>
      <c r="N167" s="83"/>
      <c r="O167" s="123" t="str">
        <f>VLOOKUP(D167,Poeng!$B$10:$BC$252,Poeng!AF$1,FALSE)</f>
        <v>-</v>
      </c>
      <c r="P167" s="123" t="str">
        <f>VLOOKUP(D167,Poeng!$B$10:$BH$252,Poeng!BH$1,FALSE)</f>
        <v>Very Good</v>
      </c>
      <c r="Q167" s="744"/>
      <c r="R167" s="745"/>
      <c r="S167" s="738"/>
      <c r="T167" s="319"/>
      <c r="U167" s="83"/>
      <c r="V167" s="123" t="str">
        <f>VLOOKUP(D167,Poeng!$B$10:$BC$252,Poeng!AG$1,FALSE)</f>
        <v>-</v>
      </c>
      <c r="W167" s="123" t="str">
        <f>VLOOKUP(D167,Poeng!$B$10:$BK$252,Poeng!BK$1,FALSE)</f>
        <v>Very Good</v>
      </c>
      <c r="X167" s="81"/>
      <c r="Y167" s="80"/>
      <c r="Z167" s="738"/>
      <c r="AA167" s="133"/>
      <c r="AB167" s="640"/>
      <c r="AC167" s="107">
        <f t="shared" ref="AC167" si="27">IF(F167="",1,IF(F167=0,2,1))</f>
        <v>1</v>
      </c>
      <c r="AD167" s="3" t="e">
        <f>VLOOKUP(K167,'Assessment Details'!$O$45:$P$48,2,FALSE)</f>
        <v>#N/A</v>
      </c>
      <c r="AE167" s="3" t="e">
        <f>VLOOKUP(R167,'Assessment Details'!$O$45:$P$48,2,FALSE)</f>
        <v>#N/A</v>
      </c>
      <c r="AF167" s="3" t="e">
        <f>VLOOKUP(Y167,'Assessment Details'!$O$45:$P$48,2,FALSE)</f>
        <v>#N/A</v>
      </c>
      <c r="AI167" s="70"/>
      <c r="AJ167" s="671"/>
      <c r="AK167" s="70"/>
      <c r="AL167" s="70"/>
      <c r="AM167" s="70"/>
      <c r="AN167" s="70"/>
      <c r="AO167" s="70"/>
      <c r="AP167" s="70"/>
      <c r="AS167" s="23"/>
      <c r="AT167" s="23"/>
      <c r="AU167" s="23"/>
      <c r="AV167" s="23"/>
      <c r="AW167" s="23"/>
      <c r="AX167" s="23"/>
      <c r="AZ167" s="640"/>
    </row>
    <row r="168" spans="1:52" x14ac:dyDescent="0.25">
      <c r="A168" s="1076">
        <v>159</v>
      </c>
      <c r="B168" s="1077" t="s">
        <v>69</v>
      </c>
      <c r="C168" s="924" t="s">
        <v>180</v>
      </c>
      <c r="D168" s="824" t="s">
        <v>180</v>
      </c>
      <c r="E168" s="860" t="str">
        <f>VLOOKUP(D168,Poeng!$B$10:$R$252,Poeng!E$1,FALSE)</f>
        <v>LE 02 Ecological risks and opportunities</v>
      </c>
      <c r="F168" s="865">
        <f>VLOOKUP(D168,Poeng!$B$10:$AB$252,Poeng!AB$1,FALSE)</f>
        <v>2</v>
      </c>
      <c r="G168" s="1001"/>
      <c r="H168" s="866" t="str">
        <f>VLOOKUP(D168,Poeng!$B$10:$AI$252,Poeng!AI$1,FALSE)&amp;" c. "&amp;ROUND(VLOOKUP(D168,Poeng!$B$10:$AE$252,Poeng!AE$1,FALSE)*100,1)&amp;" %"</f>
        <v>0 c. 0 %</v>
      </c>
      <c r="I168" s="924" t="str">
        <f>VLOOKUP(D168,Poeng!$B$10:$BE$252,Poeng!BE$1,FALSE)</f>
        <v>N/A</v>
      </c>
      <c r="J168" s="80"/>
      <c r="K168" s="281"/>
      <c r="L168" s="796"/>
      <c r="M168" s="816"/>
      <c r="N168" s="1001"/>
      <c r="O168" s="877" t="str">
        <f>VLOOKUP(D168,Poeng!$B$10:$BC$252,Poeng!AJ$1,FALSE)&amp;" c. "&amp;ROUND(VLOOKUP(D168,Poeng!$B$10:$BC$252,Poeng!AF$1,FALSE)*100,1)&amp;" %"</f>
        <v>0 c. 0 %</v>
      </c>
      <c r="P168" s="123" t="str">
        <f>VLOOKUP(D168,Poeng!$B$10:$BH$252,Poeng!BH$1,FALSE)</f>
        <v>N/A</v>
      </c>
      <c r="Q168" s="744"/>
      <c r="R168" s="745"/>
      <c r="S168" s="738"/>
      <c r="T168" s="319"/>
      <c r="U168" s="1001"/>
      <c r="V168" s="877" t="str">
        <f>VLOOKUP(D168,Poeng!$B$10:$BC$252,Poeng!AK$1,FALSE)&amp;" c. "&amp;ROUND(VLOOKUP(D168,Poeng!$B$10:$BC$252,Poeng!AG$1,FALSE)*100,1)&amp;" %"</f>
        <v>0 c. 0 %</v>
      </c>
      <c r="W168" s="123" t="str">
        <f>VLOOKUP(D168,Poeng!$B$10:$BK$252,Poeng!BK$1,FALSE)</f>
        <v>N/A</v>
      </c>
      <c r="X168" s="81"/>
      <c r="Y168" s="80"/>
      <c r="Z168" s="738"/>
      <c r="AA168" s="133"/>
      <c r="AB168" s="640" t="s">
        <v>14</v>
      </c>
      <c r="AC168" s="107">
        <f t="shared" si="21"/>
        <v>1</v>
      </c>
      <c r="AD168" s="3" t="e">
        <f>VLOOKUP(K168,'Assessment Details'!$O$45:$P$48,2,FALSE)</f>
        <v>#N/A</v>
      </c>
      <c r="AE168" s="3" t="e">
        <f>VLOOKUP(R168,'Assessment Details'!$O$45:$P$48,2,FALSE)</f>
        <v>#N/A</v>
      </c>
      <c r="AF168" s="3" t="e">
        <f>VLOOKUP(Y168,'Assessment Details'!$O$45:$P$48,2,FALSE)</f>
        <v>#N/A</v>
      </c>
      <c r="AI168" s="70"/>
      <c r="AJ168" s="671" t="s">
        <v>160</v>
      </c>
      <c r="AK168" s="70"/>
      <c r="AL168" s="70"/>
      <c r="AM168" s="70"/>
      <c r="AN168" s="70"/>
      <c r="AO168" s="70"/>
      <c r="AP168" s="70"/>
      <c r="AS168" s="23" t="str">
        <f t="shared" si="24"/>
        <v>N/A</v>
      </c>
      <c r="AT168" s="23" t="str">
        <f t="shared" si="25"/>
        <v>N/A</v>
      </c>
      <c r="AU168" s="23" t="str">
        <f t="shared" si="26"/>
        <v>N/A</v>
      </c>
      <c r="AV168" s="23"/>
      <c r="AW168" s="23"/>
      <c r="AX168" s="23"/>
      <c r="AZ168" s="640"/>
    </row>
    <row r="169" spans="1:52" x14ac:dyDescent="0.25">
      <c r="A169" s="1076">
        <v>160</v>
      </c>
      <c r="B169" s="1077" t="s">
        <v>69</v>
      </c>
      <c r="C169" s="1082" t="str">
        <f t="shared" si="19"/>
        <v>LE 02</v>
      </c>
      <c r="D169" s="824" t="s">
        <v>797</v>
      </c>
      <c r="E169" s="861" t="str">
        <f>VLOOKUP(D169,Poeng!$B$10:$R$252,Poeng!E$1,FALSE)</f>
        <v>Pre-requisite: statutory obligations fulfilled</v>
      </c>
      <c r="F169" s="122" t="str">
        <f>VLOOKUP(D169,Poeng!$B$10:$AB$252,Poeng!AB$1,FALSE)</f>
        <v>Yes/No</v>
      </c>
      <c r="G169" s="43"/>
      <c r="H169" s="123" t="str">
        <f>VLOOKUP(D169,Poeng!$B$10:$AE$252,Poeng!AE$1,FALSE)</f>
        <v>-</v>
      </c>
      <c r="I169" s="124" t="str">
        <f>VLOOKUP(D169,Poeng!$B$10:$BE$252,Poeng!BE$1,FALSE)</f>
        <v>N/A</v>
      </c>
      <c r="J169" s="80"/>
      <c r="K169" s="281"/>
      <c r="L169" s="796"/>
      <c r="M169" s="816"/>
      <c r="N169" s="83"/>
      <c r="O169" s="123" t="str">
        <f>VLOOKUP(D169,Poeng!$B$10:$BC$252,Poeng!AF$1,FALSE)</f>
        <v>-</v>
      </c>
      <c r="P169" s="123" t="str">
        <f>VLOOKUP(D169,Poeng!$B$10:$BH$252,Poeng!BH$1,FALSE)</f>
        <v>N/A</v>
      </c>
      <c r="Q169" s="744"/>
      <c r="R169" s="745"/>
      <c r="S169" s="738"/>
      <c r="T169" s="319"/>
      <c r="U169" s="83"/>
      <c r="V169" s="123" t="str">
        <f>VLOOKUP(D169,Poeng!$B$10:$BC$252,Poeng!AG$1,FALSE)</f>
        <v>-</v>
      </c>
      <c r="W169" s="123" t="str">
        <f>VLOOKUP(D169,Poeng!$B$10:$BK$252,Poeng!BK$1,FALSE)</f>
        <v>N/A</v>
      </c>
      <c r="X169" s="81"/>
      <c r="Y169" s="80"/>
      <c r="Z169" s="738"/>
      <c r="AA169" s="133"/>
      <c r="AB169" s="640"/>
      <c r="AC169" s="107">
        <f t="shared" si="21"/>
        <v>1</v>
      </c>
      <c r="AD169" s="3" t="e">
        <f>VLOOKUP(K169,'Assessment Details'!$O$45:$P$48,2,FALSE)</f>
        <v>#N/A</v>
      </c>
      <c r="AE169" s="3" t="e">
        <f>VLOOKUP(R169,'Assessment Details'!$O$45:$P$48,2,FALSE)</f>
        <v>#N/A</v>
      </c>
      <c r="AF169" s="3" t="e">
        <f>VLOOKUP(Y169,'Assessment Details'!$O$45:$P$48,2,FALSE)</f>
        <v>#N/A</v>
      </c>
      <c r="AI169" s="70"/>
      <c r="AJ169" s="671"/>
      <c r="AK169" s="70"/>
      <c r="AL169" s="70"/>
      <c r="AM169" s="70"/>
      <c r="AN169" s="70"/>
      <c r="AO169" s="70"/>
      <c r="AP169" s="70"/>
      <c r="AS169" s="23"/>
      <c r="AT169" s="23"/>
      <c r="AU169" s="23"/>
      <c r="AV169" s="23"/>
      <c r="AW169" s="23"/>
      <c r="AX169" s="23"/>
      <c r="AZ169" s="640"/>
    </row>
    <row r="170" spans="1:52" x14ac:dyDescent="0.25">
      <c r="A170" s="1076">
        <v>161</v>
      </c>
      <c r="B170" s="1077" t="s">
        <v>69</v>
      </c>
      <c r="C170" s="1082" t="str">
        <f t="shared" si="19"/>
        <v>LE 02</v>
      </c>
      <c r="D170" s="824" t="s">
        <v>798</v>
      </c>
      <c r="E170" s="861" t="str">
        <f>VLOOKUP(D170,Poeng!$B$10:$R$252,Poeng!E$1,FALSE)</f>
        <v>Survey and evaluation (EU taxonomy requirement: criterion 2-4)</v>
      </c>
      <c r="F170" s="122">
        <f>VLOOKUP(D170,Poeng!$B$10:$AB$252,Poeng!AB$1,FALSE)</f>
        <v>1</v>
      </c>
      <c r="G170" s="43"/>
      <c r="H170" s="123">
        <f>VLOOKUP(D170,Poeng!$B$10:$AE$252,Poeng!AE$1,FALSE)</f>
        <v>0</v>
      </c>
      <c r="I170" s="124" t="str">
        <f>VLOOKUP(D170,Poeng!$B$10:$BE$252,Poeng!BE$1,FALSE)</f>
        <v>Good</v>
      </c>
      <c r="J170" s="80"/>
      <c r="K170" s="281"/>
      <c r="L170" s="796"/>
      <c r="M170" s="816"/>
      <c r="N170" s="83"/>
      <c r="O170" s="123">
        <f>VLOOKUP(D170,Poeng!$B$10:$BC$252,Poeng!AF$1,FALSE)</f>
        <v>0</v>
      </c>
      <c r="P170" s="123" t="str">
        <f>VLOOKUP(D170,Poeng!$B$10:$BH$252,Poeng!BH$1,FALSE)</f>
        <v>Good</v>
      </c>
      <c r="Q170" s="744"/>
      <c r="R170" s="745"/>
      <c r="S170" s="738"/>
      <c r="T170" s="319"/>
      <c r="U170" s="83"/>
      <c r="V170" s="123">
        <f>VLOOKUP(D170,Poeng!$B$10:$BC$252,Poeng!AG$1,FALSE)</f>
        <v>0</v>
      </c>
      <c r="W170" s="123" t="str">
        <f>VLOOKUP(D170,Poeng!$B$10:$BK$252,Poeng!BK$1,FALSE)</f>
        <v>Good</v>
      </c>
      <c r="X170" s="81"/>
      <c r="Y170" s="80"/>
      <c r="Z170" s="738"/>
      <c r="AA170" s="133"/>
      <c r="AB170" s="640"/>
      <c r="AC170" s="107">
        <f t="shared" si="21"/>
        <v>1</v>
      </c>
      <c r="AD170" s="3" t="e">
        <f>VLOOKUP(K170,'Assessment Details'!$O$45:$P$48,2,FALSE)</f>
        <v>#N/A</v>
      </c>
      <c r="AE170" s="3" t="e">
        <f>VLOOKUP(R170,'Assessment Details'!$O$45:$P$48,2,FALSE)</f>
        <v>#N/A</v>
      </c>
      <c r="AF170" s="3" t="e">
        <f>VLOOKUP(Y170,'Assessment Details'!$O$45:$P$48,2,FALSE)</f>
        <v>#N/A</v>
      </c>
      <c r="AI170" s="70"/>
      <c r="AJ170" s="671"/>
      <c r="AK170" s="70"/>
      <c r="AL170" s="70"/>
      <c r="AM170" s="70"/>
      <c r="AN170" s="70"/>
      <c r="AO170" s="70"/>
      <c r="AP170" s="70"/>
      <c r="AS170" s="23"/>
      <c r="AT170" s="23"/>
      <c r="AU170" s="23"/>
      <c r="AV170" s="23"/>
      <c r="AW170" s="23"/>
      <c r="AX170" s="23"/>
      <c r="AZ170" s="640"/>
    </row>
    <row r="171" spans="1:52" x14ac:dyDescent="0.25">
      <c r="A171" s="1076">
        <v>162</v>
      </c>
      <c r="B171" s="1077" t="s">
        <v>69</v>
      </c>
      <c r="C171" s="1082" t="str">
        <f t="shared" si="19"/>
        <v>LE 02</v>
      </c>
      <c r="D171" s="824" t="s">
        <v>799</v>
      </c>
      <c r="E171" s="861" t="str">
        <f>VLOOKUP(D171,Poeng!$B$10:$R$252,Poeng!E$1,FALSE)</f>
        <v>Determin ecological possibilities</v>
      </c>
      <c r="F171" s="122">
        <f>VLOOKUP(D171,Poeng!$B$10:$AB$252,Poeng!AB$1,FALSE)</f>
        <v>1</v>
      </c>
      <c r="G171" s="43"/>
      <c r="H171" s="123">
        <f>VLOOKUP(D171,Poeng!$B$10:$AE$252,Poeng!AE$1,FALSE)</f>
        <v>0</v>
      </c>
      <c r="I171" s="124" t="str">
        <f>VLOOKUP(D171,Poeng!$B$10:$BE$252,Poeng!BE$1,FALSE)</f>
        <v>N/A</v>
      </c>
      <c r="J171" s="80"/>
      <c r="K171" s="281"/>
      <c r="L171" s="796"/>
      <c r="M171" s="816"/>
      <c r="N171" s="83"/>
      <c r="O171" s="123">
        <f>VLOOKUP(D171,Poeng!$B$10:$BC$252,Poeng!AF$1,FALSE)</f>
        <v>0</v>
      </c>
      <c r="P171" s="123" t="str">
        <f>VLOOKUP(D171,Poeng!$B$10:$BH$252,Poeng!BH$1,FALSE)</f>
        <v>N/A</v>
      </c>
      <c r="Q171" s="744"/>
      <c r="R171" s="745"/>
      <c r="S171" s="738"/>
      <c r="T171" s="319"/>
      <c r="U171" s="83"/>
      <c r="V171" s="123">
        <f>VLOOKUP(D171,Poeng!$B$10:$BC$252,Poeng!AG$1,FALSE)</f>
        <v>0</v>
      </c>
      <c r="W171" s="123" t="str">
        <f>VLOOKUP(D171,Poeng!$B$10:$BK$252,Poeng!BK$1,FALSE)</f>
        <v>N/A</v>
      </c>
      <c r="X171" s="81"/>
      <c r="Y171" s="80"/>
      <c r="Z171" s="738"/>
      <c r="AA171" s="133"/>
      <c r="AB171" s="640"/>
      <c r="AC171" s="107">
        <f t="shared" si="21"/>
        <v>1</v>
      </c>
      <c r="AD171" s="3" t="e">
        <f>VLOOKUP(K171,'Assessment Details'!$O$45:$P$48,2,FALSE)</f>
        <v>#N/A</v>
      </c>
      <c r="AE171" s="3" t="e">
        <f>VLOOKUP(R171,'Assessment Details'!$O$45:$P$48,2,FALSE)</f>
        <v>#N/A</v>
      </c>
      <c r="AF171" s="3" t="e">
        <f>VLOOKUP(Y171,'Assessment Details'!$O$45:$P$48,2,FALSE)</f>
        <v>#N/A</v>
      </c>
      <c r="AI171" s="70"/>
      <c r="AJ171" s="671"/>
      <c r="AK171" s="70"/>
      <c r="AL171" s="70"/>
      <c r="AM171" s="70"/>
      <c r="AN171" s="70"/>
      <c r="AO171" s="70"/>
      <c r="AP171" s="70"/>
      <c r="AS171" s="23"/>
      <c r="AT171" s="23"/>
      <c r="AU171" s="23"/>
      <c r="AV171" s="23"/>
      <c r="AW171" s="23"/>
      <c r="AX171" s="23"/>
      <c r="AZ171" s="640"/>
    </row>
    <row r="172" spans="1:52" x14ac:dyDescent="0.25">
      <c r="A172" s="1076">
        <v>163</v>
      </c>
      <c r="B172" s="1077" t="s">
        <v>69</v>
      </c>
      <c r="C172" s="924" t="s">
        <v>479</v>
      </c>
      <c r="D172" s="824" t="s">
        <v>479</v>
      </c>
      <c r="E172" s="860" t="str">
        <f>VLOOKUP(D172,Poeng!$B$10:$R$252,Poeng!E$1,FALSE)</f>
        <v>LE 03 Managing impacts on ecology</v>
      </c>
      <c r="F172" s="865">
        <f>VLOOKUP(D172,Poeng!$B$10:$AB$252,Poeng!AB$1,FALSE)</f>
        <v>3</v>
      </c>
      <c r="G172" s="1001"/>
      <c r="H172" s="866" t="str">
        <f>VLOOKUP(D172,Poeng!$B$10:$AI$252,Poeng!AI$1,FALSE)&amp;" c. "&amp;ROUND(VLOOKUP(D172,Poeng!$B$10:$AE$252,Poeng!AE$1,FALSE)*100,1)&amp;" %"</f>
        <v>0 c. 0 %</v>
      </c>
      <c r="I172" s="924" t="str">
        <f>VLOOKUP(D172,Poeng!$B$10:$BE$252,Poeng!BE$1,FALSE)</f>
        <v>N/A</v>
      </c>
      <c r="J172" s="80"/>
      <c r="K172" s="281"/>
      <c r="L172" s="796"/>
      <c r="M172" s="816"/>
      <c r="N172" s="1001"/>
      <c r="O172" s="877" t="str">
        <f>VLOOKUP(D172,Poeng!$B$10:$BC$252,Poeng!AJ$1,FALSE)&amp;" c. "&amp;ROUND(VLOOKUP(D172,Poeng!$B$10:$BC$252,Poeng!AF$1,FALSE)*100,1)&amp;" %"</f>
        <v>0 c. 0 %</v>
      </c>
      <c r="P172" s="123" t="str">
        <f>VLOOKUP(D172,Poeng!$B$10:$BH$252,Poeng!BH$1,FALSE)</f>
        <v>N/A</v>
      </c>
      <c r="Q172" s="744"/>
      <c r="R172" s="745"/>
      <c r="S172" s="738"/>
      <c r="T172" s="319"/>
      <c r="U172" s="1001"/>
      <c r="V172" s="877" t="str">
        <f>VLOOKUP(D172,Poeng!$B$10:$BC$252,Poeng!AK$1,FALSE)&amp;" c. "&amp;ROUND(VLOOKUP(D172,Poeng!$B$10:$BC$252,Poeng!AG$1,FALSE)*100,1)&amp;" %"</f>
        <v>0 c. 0 %</v>
      </c>
      <c r="W172" s="123" t="str">
        <f>VLOOKUP(D172,Poeng!$B$10:$BK$252,Poeng!BK$1,FALSE)</f>
        <v>N/A</v>
      </c>
      <c r="X172" s="81"/>
      <c r="Y172" s="80"/>
      <c r="Z172" s="738"/>
      <c r="AA172" s="133"/>
      <c r="AB172" s="640"/>
      <c r="AC172" s="107">
        <f t="shared" si="21"/>
        <v>1</v>
      </c>
      <c r="AD172" s="3" t="e">
        <f>VLOOKUP(K172,'Assessment Details'!$O$45:$P$48,2,FALSE)</f>
        <v>#N/A</v>
      </c>
      <c r="AE172" s="3" t="e">
        <f>VLOOKUP(R172,'Assessment Details'!$O$45:$P$48,2,FALSE)</f>
        <v>#N/A</v>
      </c>
      <c r="AF172" s="3" t="e">
        <f>VLOOKUP(Y172,'Assessment Details'!$O$45:$P$48,2,FALSE)</f>
        <v>#N/A</v>
      </c>
      <c r="AI172" s="70"/>
      <c r="AJ172" s="671"/>
      <c r="AK172" s="70"/>
      <c r="AL172" s="70"/>
      <c r="AM172" s="70"/>
      <c r="AN172" s="70"/>
      <c r="AO172" s="70"/>
      <c r="AP172" s="70"/>
      <c r="AS172" s="23"/>
      <c r="AT172" s="23"/>
      <c r="AU172" s="23"/>
      <c r="AV172" s="23"/>
      <c r="AW172" s="23"/>
      <c r="AX172" s="23"/>
      <c r="AZ172" s="640"/>
    </row>
    <row r="173" spans="1:52" x14ac:dyDescent="0.25">
      <c r="A173" s="1076">
        <v>164</v>
      </c>
      <c r="B173" s="1077" t="s">
        <v>69</v>
      </c>
      <c r="C173" s="1082" t="s">
        <v>479</v>
      </c>
      <c r="D173" s="824" t="s">
        <v>800</v>
      </c>
      <c r="E173" s="861" t="str">
        <f>VLOOKUP(D173,Poeng!$B$10:$R$252,Poeng!E$1,FALSE)</f>
        <v>Pre-requisite: ecological risks and opportunities</v>
      </c>
      <c r="F173" s="122" t="str">
        <f>VLOOKUP(D173,Poeng!$B$10:$AB$252,Poeng!AB$1,FALSE)</f>
        <v>Yes/No</v>
      </c>
      <c r="G173" s="1276"/>
      <c r="H173" s="866" t="str">
        <f>Poeng!AI243</f>
        <v>No</v>
      </c>
      <c r="I173" s="124" t="str">
        <f>VLOOKUP(D173,Poeng!$B$10:$BE$252,Poeng!BE$1,FALSE)</f>
        <v>N/A</v>
      </c>
      <c r="J173" s="80"/>
      <c r="K173" s="281"/>
      <c r="L173" s="796"/>
      <c r="M173" s="816"/>
      <c r="N173" s="1277"/>
      <c r="O173" s="877" t="str">
        <f>Poeng!AJ243</f>
        <v>No</v>
      </c>
      <c r="P173" s="123" t="str">
        <f>VLOOKUP(D173,Poeng!$B$10:$BH$252,Poeng!BH$1,FALSE)</f>
        <v>N/A</v>
      </c>
      <c r="Q173" s="744"/>
      <c r="R173" s="745"/>
      <c r="S173" s="738"/>
      <c r="T173" s="319"/>
      <c r="U173" s="1277"/>
      <c r="V173" s="877" t="str">
        <f>Poeng!AK243</f>
        <v>No</v>
      </c>
      <c r="W173" s="123" t="str">
        <f>VLOOKUP(D173,Poeng!$B$10:$BK$252,Poeng!BK$1,FALSE)</f>
        <v>N/A</v>
      </c>
      <c r="X173" s="81"/>
      <c r="Y173" s="80"/>
      <c r="Z173" s="738"/>
      <c r="AA173" s="133"/>
      <c r="AB173" s="640"/>
      <c r="AC173" s="107">
        <f t="shared" ref="AC173" si="28">IF(F173="",1,IF(F173=0,2,1))</f>
        <v>1</v>
      </c>
      <c r="AD173" s="3" t="e">
        <f>VLOOKUP(K173,'Assessment Details'!$O$45:$P$48,2,FALSE)</f>
        <v>#N/A</v>
      </c>
      <c r="AE173" s="3" t="e">
        <f>VLOOKUP(R173,'Assessment Details'!$O$45:$P$48,2,FALSE)</f>
        <v>#N/A</v>
      </c>
      <c r="AF173" s="3" t="e">
        <f>VLOOKUP(Y173,'Assessment Details'!$O$45:$P$48,2,FALSE)</f>
        <v>#N/A</v>
      </c>
      <c r="AI173" s="70"/>
      <c r="AJ173" s="671"/>
      <c r="AK173" s="70"/>
      <c r="AL173" s="70"/>
      <c r="AM173" s="70"/>
      <c r="AN173" s="70"/>
      <c r="AO173" s="70"/>
      <c r="AP173" s="70"/>
      <c r="AS173" s="23"/>
      <c r="AT173" s="23"/>
      <c r="AU173" s="23"/>
      <c r="AV173" s="23"/>
      <c r="AW173" s="23"/>
      <c r="AX173" s="23"/>
      <c r="AZ173" s="640"/>
    </row>
    <row r="174" spans="1:52" x14ac:dyDescent="0.25">
      <c r="A174" s="1076">
        <v>165</v>
      </c>
      <c r="B174" s="1077" t="s">
        <v>69</v>
      </c>
      <c r="C174" s="1082" t="s">
        <v>479</v>
      </c>
      <c r="D174" s="824" t="s">
        <v>801</v>
      </c>
      <c r="E174" s="861" t="str">
        <f>VLOOKUP(D174,Poeng!$B$10:$R$252,Poeng!E$1,FALSE)</f>
        <v>Planning and measures on site</v>
      </c>
      <c r="F174" s="122">
        <f>VLOOKUP(D174,Poeng!$B$10:$AB$252,Poeng!AB$1,FALSE)</f>
        <v>1</v>
      </c>
      <c r="G174" s="43"/>
      <c r="H174" s="123">
        <f>VLOOKUP(D174,Poeng!$B$10:$AE$252,Poeng!AE$1,FALSE)</f>
        <v>0</v>
      </c>
      <c r="I174" s="124" t="str">
        <f>VLOOKUP(D174,Poeng!$B$10:$BE$252,Poeng!BE$1,FALSE)</f>
        <v>N/A</v>
      </c>
      <c r="J174" s="80"/>
      <c r="K174" s="281"/>
      <c r="L174" s="796"/>
      <c r="M174" s="816"/>
      <c r="N174" s="83"/>
      <c r="O174" s="123">
        <f>VLOOKUP(D174,Poeng!$B$10:$BC$252,Poeng!AF$1,FALSE)</f>
        <v>0</v>
      </c>
      <c r="P174" s="123" t="str">
        <f>VLOOKUP(D174,Poeng!$B$10:$BH$252,Poeng!BH$1,FALSE)</f>
        <v>N/A</v>
      </c>
      <c r="Q174" s="744"/>
      <c r="R174" s="745"/>
      <c r="S174" s="1095"/>
      <c r="T174" s="319"/>
      <c r="U174" s="83"/>
      <c r="V174" s="123">
        <f>VLOOKUP(D174,Poeng!$B$10:$BC$252,Poeng!AG$1,FALSE)</f>
        <v>0</v>
      </c>
      <c r="W174" s="123" t="str">
        <f>VLOOKUP(D174,Poeng!$B$10:$BK$252,Poeng!BK$1,FALSE)</f>
        <v>N/A</v>
      </c>
      <c r="X174" s="81"/>
      <c r="Y174" s="80"/>
      <c r="Z174" s="1095"/>
      <c r="AA174" s="133"/>
      <c r="AB174" s="640"/>
      <c r="AC174" s="107">
        <f t="shared" si="21"/>
        <v>1</v>
      </c>
      <c r="AD174" s="3" t="e">
        <f>VLOOKUP(K174,'Assessment Details'!$O$45:$P$48,2,FALSE)</f>
        <v>#N/A</v>
      </c>
      <c r="AE174" s="3" t="e">
        <f>VLOOKUP(R174,'Assessment Details'!$O$45:$P$48,2,FALSE)</f>
        <v>#N/A</v>
      </c>
      <c r="AF174" s="3" t="e">
        <f>VLOOKUP(Y174,'Assessment Details'!$O$45:$P$48,2,FALSE)</f>
        <v>#N/A</v>
      </c>
      <c r="AI174" s="70"/>
      <c r="AJ174" s="671"/>
      <c r="AK174" s="70"/>
      <c r="AL174" s="70"/>
      <c r="AM174" s="70"/>
      <c r="AN174" s="70"/>
      <c r="AO174" s="70"/>
      <c r="AP174" s="70"/>
      <c r="AS174" s="23"/>
      <c r="AT174" s="23"/>
      <c r="AU174" s="23"/>
      <c r="AV174" s="23"/>
      <c r="AW174" s="23"/>
      <c r="AX174" s="23"/>
      <c r="AZ174" s="640"/>
    </row>
    <row r="175" spans="1:52" x14ac:dyDescent="0.25">
      <c r="A175" s="1076">
        <v>166</v>
      </c>
      <c r="B175" s="1077" t="s">
        <v>69</v>
      </c>
      <c r="C175" s="1082" t="s">
        <v>479</v>
      </c>
      <c r="D175" s="824" t="s">
        <v>802</v>
      </c>
      <c r="E175" s="861" t="str">
        <f>VLOOKUP(D175,Poeng!$B$10:$R$252,Poeng!E$1,FALSE)</f>
        <v>Managing negative impacts</v>
      </c>
      <c r="F175" s="122">
        <f>VLOOKUP(D175,Poeng!$B$10:$AB$252,Poeng!AB$1,FALSE)</f>
        <v>2</v>
      </c>
      <c r="G175" s="43"/>
      <c r="H175" s="123">
        <f>VLOOKUP(D175,Poeng!$B$10:$AE$252,Poeng!AE$1,FALSE)</f>
        <v>0</v>
      </c>
      <c r="I175" s="124" t="str">
        <f>VLOOKUP(D175,Poeng!$B$10:$BE$252,Poeng!BE$1,FALSE)</f>
        <v>N/A</v>
      </c>
      <c r="J175" s="80"/>
      <c r="K175" s="281"/>
      <c r="L175" s="796"/>
      <c r="M175" s="816"/>
      <c r="N175" s="83"/>
      <c r="O175" s="123">
        <f>VLOOKUP(D175,Poeng!$B$10:$BC$252,Poeng!AF$1,FALSE)</f>
        <v>0</v>
      </c>
      <c r="P175" s="123" t="str">
        <f>VLOOKUP(D175,Poeng!$B$10:$BH$252,Poeng!BH$1,FALSE)</f>
        <v>N/A</v>
      </c>
      <c r="Q175" s="744"/>
      <c r="R175" s="745"/>
      <c r="S175" s="1095"/>
      <c r="T175" s="319"/>
      <c r="U175" s="83"/>
      <c r="V175" s="123">
        <f>VLOOKUP(D175,Poeng!$B$10:$BC$252,Poeng!AG$1,FALSE)</f>
        <v>0</v>
      </c>
      <c r="W175" s="123" t="str">
        <f>VLOOKUP(D175,Poeng!$B$10:$BK$252,Poeng!BK$1,FALSE)</f>
        <v>N/A</v>
      </c>
      <c r="X175" s="81"/>
      <c r="Y175" s="80"/>
      <c r="Z175" s="1095"/>
      <c r="AA175" s="133"/>
      <c r="AB175" s="640"/>
      <c r="AC175" s="107">
        <f t="shared" si="21"/>
        <v>1</v>
      </c>
      <c r="AD175" s="3" t="e">
        <f>VLOOKUP(K175,'Assessment Details'!$O$45:$P$48,2,FALSE)</f>
        <v>#N/A</v>
      </c>
      <c r="AE175" s="3" t="e">
        <f>VLOOKUP(R175,'Assessment Details'!$O$45:$P$48,2,FALSE)</f>
        <v>#N/A</v>
      </c>
      <c r="AF175" s="3" t="e">
        <f>VLOOKUP(Y175,'Assessment Details'!$O$45:$P$48,2,FALSE)</f>
        <v>#N/A</v>
      </c>
      <c r="AI175" s="70"/>
      <c r="AJ175" s="671"/>
      <c r="AK175" s="70"/>
      <c r="AL175" s="70"/>
      <c r="AM175" s="70"/>
      <c r="AN175" s="70"/>
      <c r="AO175" s="70"/>
      <c r="AP175" s="70"/>
      <c r="AS175" s="23"/>
      <c r="AT175" s="23"/>
      <c r="AU175" s="23"/>
      <c r="AV175" s="23"/>
      <c r="AW175" s="23"/>
      <c r="AX175" s="23"/>
      <c r="AZ175" s="640"/>
    </row>
    <row r="176" spans="1:52" x14ac:dyDescent="0.25">
      <c r="A176" s="1076">
        <v>167</v>
      </c>
      <c r="B176" s="1077" t="s">
        <v>69</v>
      </c>
      <c r="C176" s="924" t="s">
        <v>181</v>
      </c>
      <c r="D176" s="824" t="s">
        <v>181</v>
      </c>
      <c r="E176" s="860" t="str">
        <f>VLOOKUP(D176,Poeng!$B$10:$R$252,Poeng!E$1,FALSE)</f>
        <v>LE 04 Ecological change and enhancement</v>
      </c>
      <c r="F176" s="865">
        <f>VLOOKUP(D176,Poeng!$B$10:$AB$252,Poeng!AB$1,FALSE)</f>
        <v>4</v>
      </c>
      <c r="G176" s="1001"/>
      <c r="H176" s="866" t="str">
        <f>VLOOKUP(D176,Poeng!$B$10:$AI$252,Poeng!AI$1,FALSE)&amp;" c. "&amp;ROUND(VLOOKUP(D176,Poeng!$B$10:$AE$252,Poeng!AE$1,FALSE)*100,1)&amp;" %"</f>
        <v>0 c. 0 %</v>
      </c>
      <c r="I176" s="924" t="str">
        <f>VLOOKUP(D176,Poeng!$B$10:$BE$252,Poeng!BE$1,FALSE)</f>
        <v>N/A</v>
      </c>
      <c r="J176" s="80"/>
      <c r="K176" s="281"/>
      <c r="L176" s="796"/>
      <c r="M176" s="816"/>
      <c r="N176" s="1001"/>
      <c r="O176" s="877" t="str">
        <f>VLOOKUP(D176,Poeng!$B$10:$BC$252,Poeng!AJ$1,FALSE)&amp;" c. "&amp;ROUND(VLOOKUP(D176,Poeng!$B$10:$BC$252,Poeng!AF$1,FALSE)*100,1)&amp;" %"</f>
        <v>0 c. 0 %</v>
      </c>
      <c r="P176" s="123" t="str">
        <f>VLOOKUP(D176,Poeng!$B$10:$BH$252,Poeng!BH$1,FALSE)</f>
        <v>N/A</v>
      </c>
      <c r="Q176" s="744"/>
      <c r="R176" s="745"/>
      <c r="S176" s="1095"/>
      <c r="T176" s="319"/>
      <c r="U176" s="1001"/>
      <c r="V176" s="877" t="str">
        <f>VLOOKUP(D176,Poeng!$B$10:$BC$252,Poeng!AK$1,FALSE)&amp;" c. "&amp;ROUND(VLOOKUP(D176,Poeng!$B$10:$BC$252,Poeng!AG$1,FALSE)*100,1)&amp;" %"</f>
        <v>0 c. 0 %</v>
      </c>
      <c r="W176" s="123" t="str">
        <f>VLOOKUP(D176,Poeng!$B$10:$BK$252,Poeng!BK$1,FALSE)</f>
        <v>N/A</v>
      </c>
      <c r="X176" s="81"/>
      <c r="Y176" s="80"/>
      <c r="Z176" s="1095"/>
      <c r="AA176" s="133"/>
      <c r="AB176" s="640" t="s">
        <v>14</v>
      </c>
      <c r="AC176" s="107">
        <f t="shared" si="21"/>
        <v>1</v>
      </c>
      <c r="AD176" s="3" t="e">
        <f>VLOOKUP(K176,'Assessment Details'!$O$45:$P$48,2,FALSE)</f>
        <v>#N/A</v>
      </c>
      <c r="AE176" s="3" t="e">
        <f>VLOOKUP(R176,'Assessment Details'!$O$45:$P$48,2,FALSE)</f>
        <v>#N/A</v>
      </c>
      <c r="AF176" s="3" t="e">
        <f>VLOOKUP(Y176,'Assessment Details'!$O$45:$P$48,2,FALSE)</f>
        <v>#N/A</v>
      </c>
      <c r="AI176" s="70"/>
      <c r="AJ176" s="671" t="s">
        <v>161</v>
      </c>
      <c r="AK176" s="70"/>
      <c r="AL176" s="70"/>
      <c r="AM176" s="70"/>
      <c r="AN176" s="70"/>
      <c r="AO176" s="70"/>
      <c r="AP176" s="70"/>
      <c r="AS176" s="23" t="str">
        <f t="shared" si="24"/>
        <v>N/A</v>
      </c>
      <c r="AT176" s="23" t="str">
        <f t="shared" si="25"/>
        <v>N/A</v>
      </c>
      <c r="AU176" s="23" t="str">
        <f t="shared" si="26"/>
        <v>N/A</v>
      </c>
      <c r="AV176" s="23"/>
      <c r="AW176" s="23"/>
      <c r="AX176" s="23"/>
      <c r="AZ176" s="640"/>
    </row>
    <row r="177" spans="1:52" x14ac:dyDescent="0.25">
      <c r="A177" s="1076">
        <v>168</v>
      </c>
      <c r="B177" s="1077" t="s">
        <v>69</v>
      </c>
      <c r="C177" s="1082" t="str">
        <f t="shared" si="19"/>
        <v>LE 04</v>
      </c>
      <c r="D177" s="824" t="s">
        <v>803</v>
      </c>
      <c r="E177" s="861" t="str">
        <f>VLOOKUP(D177,Poeng!$B$10:$R$252,Poeng!E$1,FALSE)</f>
        <v>Pre-requisite: managing negative impacts on ecology</v>
      </c>
      <c r="F177" s="122" t="str">
        <f>VLOOKUP(D177,Poeng!$B$10:$AB$252,Poeng!AB$1,FALSE)</f>
        <v>Yes/No</v>
      </c>
      <c r="G177" s="43"/>
      <c r="H177" s="123" t="str">
        <f>VLOOKUP(D177,Poeng!$B$10:$AE$252,Poeng!AE$1,FALSE)</f>
        <v>-</v>
      </c>
      <c r="I177" s="124" t="str">
        <f>VLOOKUP(D177,Poeng!$B$10:$BE$252,Poeng!BE$1,FALSE)</f>
        <v>N/A</v>
      </c>
      <c r="J177" s="80"/>
      <c r="K177" s="281"/>
      <c r="L177" s="796"/>
      <c r="M177" s="816"/>
      <c r="N177" s="83"/>
      <c r="O177" s="123" t="str">
        <f>VLOOKUP(D177,Poeng!$B$10:$BC$252,Poeng!AF$1,FALSE)</f>
        <v>-</v>
      </c>
      <c r="P177" s="123" t="str">
        <f>VLOOKUP(D177,Poeng!$B$10:$BH$252,Poeng!BH$1,FALSE)</f>
        <v>N/A</v>
      </c>
      <c r="Q177" s="744"/>
      <c r="R177" s="745"/>
      <c r="S177" s="738"/>
      <c r="T177" s="319"/>
      <c r="U177" s="83"/>
      <c r="V177" s="123" t="str">
        <f>VLOOKUP(D177,Poeng!$B$10:$BC$252,Poeng!AG$1,FALSE)</f>
        <v>-</v>
      </c>
      <c r="W177" s="123" t="str">
        <f>VLOOKUP(D177,Poeng!$B$10:$BK$252,Poeng!BK$1,FALSE)</f>
        <v>N/A</v>
      </c>
      <c r="X177" s="81"/>
      <c r="Y177" s="80"/>
      <c r="Z177" s="738"/>
      <c r="AA177" s="133"/>
      <c r="AB177" s="640"/>
      <c r="AC177" s="107">
        <f t="shared" si="21"/>
        <v>1</v>
      </c>
      <c r="AD177" s="3" t="e">
        <f>VLOOKUP(K177,'Assessment Details'!$O$45:$P$48,2,FALSE)</f>
        <v>#N/A</v>
      </c>
      <c r="AE177" s="3" t="e">
        <f>VLOOKUP(R177,'Assessment Details'!$O$45:$P$48,2,FALSE)</f>
        <v>#N/A</v>
      </c>
      <c r="AF177" s="3" t="e">
        <f>VLOOKUP(Y177,'Assessment Details'!$O$45:$P$48,2,FALSE)</f>
        <v>#N/A</v>
      </c>
      <c r="AI177" s="70"/>
      <c r="AJ177" s="671"/>
      <c r="AK177" s="70"/>
      <c r="AL177" s="70"/>
      <c r="AM177" s="70"/>
      <c r="AN177" s="70"/>
      <c r="AO177" s="70"/>
      <c r="AP177" s="70"/>
      <c r="AS177" s="23"/>
      <c r="AT177" s="23"/>
      <c r="AU177" s="23"/>
      <c r="AV177" s="23"/>
      <c r="AW177" s="23"/>
      <c r="AX177" s="23"/>
      <c r="AZ177" s="640"/>
    </row>
    <row r="178" spans="1:52" x14ac:dyDescent="0.25">
      <c r="A178" s="1076">
        <v>169</v>
      </c>
      <c r="B178" s="1077" t="s">
        <v>69</v>
      </c>
      <c r="C178" s="1082" t="str">
        <f t="shared" si="19"/>
        <v>LE 04</v>
      </c>
      <c r="D178" s="824" t="s">
        <v>804</v>
      </c>
      <c r="E178" s="861" t="str">
        <f>VLOOKUP(D178,Poeng!$B$10:$R$252,Poeng!E$1,FALSE)</f>
        <v>Ecological enhancement</v>
      </c>
      <c r="F178" s="122">
        <f>VLOOKUP(D178,Poeng!$B$10:$AB$252,Poeng!AB$1,FALSE)</f>
        <v>1</v>
      </c>
      <c r="G178" s="43"/>
      <c r="H178" s="123">
        <f>VLOOKUP(D178,Poeng!$B$10:$AE$252,Poeng!AE$1,FALSE)</f>
        <v>0</v>
      </c>
      <c r="I178" s="124" t="str">
        <f>VLOOKUP(D178,Poeng!$B$10:$BE$252,Poeng!BE$1,FALSE)</f>
        <v>Excellent</v>
      </c>
      <c r="J178" s="80"/>
      <c r="K178" s="281"/>
      <c r="L178" s="796"/>
      <c r="M178" s="816"/>
      <c r="N178" s="83"/>
      <c r="O178" s="123">
        <f>VLOOKUP(D178,Poeng!$B$10:$BC$252,Poeng!AF$1,FALSE)</f>
        <v>0</v>
      </c>
      <c r="P178" s="123" t="str">
        <f>VLOOKUP(D178,Poeng!$B$10:$BH$252,Poeng!BH$1,FALSE)</f>
        <v>Excellent</v>
      </c>
      <c r="Q178" s="744"/>
      <c r="R178" s="745"/>
      <c r="S178" s="738"/>
      <c r="T178" s="319"/>
      <c r="U178" s="83"/>
      <c r="V178" s="123">
        <f>VLOOKUP(D178,Poeng!$B$10:$BC$252,Poeng!AG$1,FALSE)</f>
        <v>0</v>
      </c>
      <c r="W178" s="123" t="str">
        <f>VLOOKUP(D178,Poeng!$B$10:$BK$252,Poeng!BK$1,FALSE)</f>
        <v>Excellent</v>
      </c>
      <c r="X178" s="81"/>
      <c r="Y178" s="80"/>
      <c r="Z178" s="738"/>
      <c r="AA178" s="133"/>
      <c r="AB178" s="640"/>
      <c r="AC178" s="107">
        <f t="shared" si="21"/>
        <v>1</v>
      </c>
      <c r="AD178" s="3" t="e">
        <f>VLOOKUP(K178,'Assessment Details'!$O$45:$P$48,2,FALSE)</f>
        <v>#N/A</v>
      </c>
      <c r="AE178" s="3" t="e">
        <f>VLOOKUP(R178,'Assessment Details'!$O$45:$P$48,2,FALSE)</f>
        <v>#N/A</v>
      </c>
      <c r="AF178" s="3" t="e">
        <f>VLOOKUP(Y178,'Assessment Details'!$O$45:$P$48,2,FALSE)</f>
        <v>#N/A</v>
      </c>
      <c r="AI178" s="70"/>
      <c r="AJ178" s="671"/>
      <c r="AK178" s="70"/>
      <c r="AL178" s="70"/>
      <c r="AM178" s="70"/>
      <c r="AN178" s="70"/>
      <c r="AO178" s="70"/>
      <c r="AP178" s="70"/>
      <c r="AS178" s="23"/>
      <c r="AT178" s="23"/>
      <c r="AU178" s="23"/>
      <c r="AV178" s="23"/>
      <c r="AW178" s="23"/>
      <c r="AX178" s="23"/>
      <c r="AZ178" s="640"/>
    </row>
    <row r="179" spans="1:52" x14ac:dyDescent="0.25">
      <c r="A179" s="1076">
        <v>170</v>
      </c>
      <c r="B179" s="1077" t="s">
        <v>69</v>
      </c>
      <c r="C179" s="1082" t="str">
        <f t="shared" si="19"/>
        <v>LE 04</v>
      </c>
      <c r="D179" s="824" t="s">
        <v>805</v>
      </c>
      <c r="E179" s="861" t="str">
        <f>VLOOKUP(D179,Poeng!$B$10:$R$252,Poeng!E$1,FALSE)</f>
        <v>Calculation of change in biodiversity</v>
      </c>
      <c r="F179" s="122">
        <f>VLOOKUP(D179,Poeng!$B$10:$AB$252,Poeng!AB$1,FALSE)</f>
        <v>3</v>
      </c>
      <c r="G179" s="43"/>
      <c r="H179" s="123">
        <f>VLOOKUP(D179,Poeng!$B$10:$AE$252,Poeng!AE$1,FALSE)</f>
        <v>0</v>
      </c>
      <c r="I179" s="124" t="str">
        <f>VLOOKUP(D179,Poeng!$B$10:$BE$252,Poeng!BE$1,FALSE)</f>
        <v>N/A</v>
      </c>
      <c r="J179" s="80"/>
      <c r="K179" s="281"/>
      <c r="L179" s="796"/>
      <c r="M179" s="816"/>
      <c r="N179" s="83"/>
      <c r="O179" s="123">
        <f>VLOOKUP(D179,Poeng!$B$10:$BC$252,Poeng!AF$1,FALSE)</f>
        <v>0</v>
      </c>
      <c r="P179" s="123" t="str">
        <f>VLOOKUP(D179,Poeng!$B$10:$BH$252,Poeng!BH$1,FALSE)</f>
        <v>N/A</v>
      </c>
      <c r="Q179" s="744"/>
      <c r="R179" s="745"/>
      <c r="S179" s="738"/>
      <c r="T179" s="319"/>
      <c r="U179" s="83"/>
      <c r="V179" s="123">
        <f>VLOOKUP(D179,Poeng!$B$10:$BC$252,Poeng!AG$1,FALSE)</f>
        <v>0</v>
      </c>
      <c r="W179" s="123" t="str">
        <f>VLOOKUP(D179,Poeng!$B$10:$BK$252,Poeng!BK$1,FALSE)</f>
        <v>N/A</v>
      </c>
      <c r="X179" s="81"/>
      <c r="Y179" s="80"/>
      <c r="Z179" s="738"/>
      <c r="AA179" s="133"/>
      <c r="AB179" s="640"/>
      <c r="AC179" s="107">
        <f t="shared" si="21"/>
        <v>1</v>
      </c>
      <c r="AD179" s="3" t="e">
        <f>VLOOKUP(K179,'Assessment Details'!$O$45:$P$48,2,FALSE)</f>
        <v>#N/A</v>
      </c>
      <c r="AE179" s="3" t="e">
        <f>VLOOKUP(R179,'Assessment Details'!$O$45:$P$48,2,FALSE)</f>
        <v>#N/A</v>
      </c>
      <c r="AF179" s="3" t="e">
        <f>VLOOKUP(Y179,'Assessment Details'!$O$45:$P$48,2,FALSE)</f>
        <v>#N/A</v>
      </c>
      <c r="AI179" s="70"/>
      <c r="AJ179" s="671"/>
      <c r="AK179" s="70"/>
      <c r="AL179" s="70"/>
      <c r="AM179" s="70"/>
      <c r="AN179" s="70"/>
      <c r="AO179" s="70"/>
      <c r="AP179" s="70"/>
      <c r="AS179" s="23"/>
      <c r="AT179" s="23"/>
      <c r="AU179" s="23"/>
      <c r="AV179" s="23"/>
      <c r="AW179" s="23"/>
      <c r="AX179" s="23"/>
      <c r="AZ179" s="640"/>
    </row>
    <row r="180" spans="1:52" x14ac:dyDescent="0.25">
      <c r="A180" s="1076">
        <v>171</v>
      </c>
      <c r="B180" s="1077" t="s">
        <v>69</v>
      </c>
      <c r="C180" s="924" t="s">
        <v>182</v>
      </c>
      <c r="D180" s="824" t="s">
        <v>182</v>
      </c>
      <c r="E180" s="860" t="str">
        <f>VLOOKUP(D180,Poeng!$B$10:$R$252,Poeng!E$1,FALSE)</f>
        <v>LE 05 Long term ecology management and maintenance</v>
      </c>
      <c r="F180" s="865">
        <f>VLOOKUP(D180,Poeng!$B$10:$AB$252,Poeng!AB$1,FALSE)</f>
        <v>2</v>
      </c>
      <c r="G180" s="1001"/>
      <c r="H180" s="866" t="str">
        <f>VLOOKUP(D180,Poeng!$B$10:$AI$252,Poeng!AI$1,FALSE)&amp;" c. "&amp;ROUND(VLOOKUP(D180,Poeng!$B$10:$AE$252,Poeng!AE$1,FALSE)*100,1)&amp;" %"</f>
        <v>0 c. 0 %</v>
      </c>
      <c r="I180" s="924" t="str">
        <f>VLOOKUP(D180,Poeng!$B$10:$BE$252,Poeng!BE$1,FALSE)</f>
        <v>N/A</v>
      </c>
      <c r="J180" s="80"/>
      <c r="K180" s="281"/>
      <c r="L180" s="796"/>
      <c r="M180" s="816"/>
      <c r="N180" s="1001"/>
      <c r="O180" s="877" t="str">
        <f>VLOOKUP(D180,Poeng!$B$10:$BC$252,Poeng!AJ$1,FALSE)&amp;" c. "&amp;ROUND(VLOOKUP(D180,Poeng!$B$10:$BC$252,Poeng!AF$1,FALSE)*100,1)&amp;" %"</f>
        <v>0 c. 0 %</v>
      </c>
      <c r="P180" s="123" t="str">
        <f>VLOOKUP(D180,Poeng!$B$10:$BH$252,Poeng!BH$1,FALSE)</f>
        <v>N/A</v>
      </c>
      <c r="Q180" s="744"/>
      <c r="R180" s="745"/>
      <c r="S180" s="738"/>
      <c r="T180" s="319"/>
      <c r="U180" s="1001"/>
      <c r="V180" s="877" t="str">
        <f>VLOOKUP(D180,Poeng!$B$10:$BC$252,Poeng!AK$1,FALSE)&amp;" c. "&amp;ROUND(VLOOKUP(D180,Poeng!$B$10:$BC$252,Poeng!AG$1,FALSE)*100,1)&amp;" %"</f>
        <v>0 c. 0 %</v>
      </c>
      <c r="W180" s="123" t="str">
        <f>VLOOKUP(D180,Poeng!$B$10:$BK$252,Poeng!BK$1,FALSE)</f>
        <v>N/A</v>
      </c>
      <c r="X180" s="81"/>
      <c r="Y180" s="80"/>
      <c r="Z180" s="738"/>
      <c r="AA180" s="133"/>
      <c r="AB180" s="640" t="s">
        <v>14</v>
      </c>
      <c r="AC180" s="107">
        <f t="shared" si="21"/>
        <v>1</v>
      </c>
      <c r="AD180" s="3" t="e">
        <f>VLOOKUP(K180,'Assessment Details'!$O$45:$P$48,2,FALSE)</f>
        <v>#N/A</v>
      </c>
      <c r="AE180" s="3" t="e">
        <f>VLOOKUP(R180,'Assessment Details'!$O$45:$P$48,2,FALSE)</f>
        <v>#N/A</v>
      </c>
      <c r="AF180" s="3" t="e">
        <f>VLOOKUP(Y180,'Assessment Details'!$O$45:$P$48,2,FALSE)</f>
        <v>#N/A</v>
      </c>
      <c r="AI180" s="70"/>
      <c r="AJ180" s="671" t="s">
        <v>162</v>
      </c>
      <c r="AK180" s="70"/>
      <c r="AL180" s="70"/>
      <c r="AM180" s="70"/>
      <c r="AN180" s="70"/>
      <c r="AO180" s="70"/>
      <c r="AP180" s="70"/>
      <c r="AS180" s="23" t="str">
        <f t="shared" si="24"/>
        <v>N/A</v>
      </c>
      <c r="AT180" s="23" t="str">
        <f t="shared" si="25"/>
        <v>N/A</v>
      </c>
      <c r="AU180" s="23" t="str">
        <f t="shared" si="26"/>
        <v>N/A</v>
      </c>
      <c r="AV180" s="23"/>
      <c r="AW180" s="23"/>
      <c r="AX180" s="23"/>
      <c r="AZ180" s="640"/>
    </row>
    <row r="181" spans="1:52" x14ac:dyDescent="0.25">
      <c r="A181" s="1076">
        <v>172</v>
      </c>
      <c r="B181" s="1077" t="s">
        <v>69</v>
      </c>
      <c r="C181" s="1087" t="str">
        <f t="shared" si="19"/>
        <v>LE 05</v>
      </c>
      <c r="D181" s="824" t="s">
        <v>806</v>
      </c>
      <c r="E181" s="1071" t="str">
        <f>VLOOKUP(D181,Poeng!$B$10:$R$252,Poeng!E$1,FALSE)</f>
        <v>Pre-requisite: statutory obligations, planning and site implementation</v>
      </c>
      <c r="F181" s="122" t="str">
        <f>VLOOKUP(D181,Poeng!$B$10:$AB$252,Poeng!AB$1,FALSE)</f>
        <v>Yes/No</v>
      </c>
      <c r="G181" s="43"/>
      <c r="H181" s="123" t="str">
        <f>VLOOKUP(D181,Poeng!$B$10:$AE$252,Poeng!AE$1,FALSE)</f>
        <v>-</v>
      </c>
      <c r="I181" s="124" t="str">
        <f>VLOOKUP(D181,Poeng!$B$10:$BE$252,Poeng!BE$1,FALSE)</f>
        <v>N/A</v>
      </c>
      <c r="J181" s="80"/>
      <c r="K181" s="281"/>
      <c r="L181" s="796"/>
      <c r="M181" s="816"/>
      <c r="N181" s="83"/>
      <c r="O181" s="123" t="str">
        <f>VLOOKUP(D181,Poeng!$B$10:$BC$252,Poeng!AF$1,FALSE)</f>
        <v>-</v>
      </c>
      <c r="P181" s="123" t="str">
        <f>VLOOKUP(D181,Poeng!$B$10:$BH$252,Poeng!BH$1,FALSE)</f>
        <v>N/A</v>
      </c>
      <c r="Q181" s="744"/>
      <c r="R181" s="745"/>
      <c r="S181" s="738"/>
      <c r="T181" s="319"/>
      <c r="U181" s="83"/>
      <c r="V181" s="123" t="str">
        <f>VLOOKUP(D181,Poeng!$B$10:$BC$252,Poeng!AG$1,FALSE)</f>
        <v>-</v>
      </c>
      <c r="W181" s="123" t="str">
        <f>VLOOKUP(D181,Poeng!$B$10:$BK$252,Poeng!BK$1,FALSE)</f>
        <v>N/A</v>
      </c>
      <c r="X181" s="81"/>
      <c r="Y181" s="80"/>
      <c r="Z181" s="738"/>
      <c r="AA181" s="133"/>
      <c r="AB181" s="640"/>
      <c r="AC181" s="107">
        <f t="shared" si="21"/>
        <v>1</v>
      </c>
      <c r="AD181" s="3" t="e">
        <f>VLOOKUP(K181,'Assessment Details'!$O$45:$P$48,2,FALSE)</f>
        <v>#N/A</v>
      </c>
      <c r="AE181" s="3" t="e">
        <f>VLOOKUP(R181,'Assessment Details'!$O$45:$P$48,2,FALSE)</f>
        <v>#N/A</v>
      </c>
      <c r="AF181" s="3" t="e">
        <f>VLOOKUP(Y181,'Assessment Details'!$O$45:$P$48,2,FALSE)</f>
        <v>#N/A</v>
      </c>
      <c r="AI181" s="70"/>
      <c r="AJ181" s="671"/>
      <c r="AK181" s="70"/>
      <c r="AL181" s="70"/>
      <c r="AM181" s="70"/>
      <c r="AN181" s="70"/>
      <c r="AO181" s="70"/>
      <c r="AP181" s="70"/>
      <c r="AS181" s="23"/>
      <c r="AT181" s="23"/>
      <c r="AU181" s="23"/>
      <c r="AV181" s="23"/>
      <c r="AW181" s="23"/>
      <c r="AX181" s="23"/>
      <c r="AZ181" s="640"/>
    </row>
    <row r="182" spans="1:52" x14ac:dyDescent="0.25">
      <c r="A182" s="1076">
        <v>173</v>
      </c>
      <c r="B182" s="1077" t="s">
        <v>69</v>
      </c>
      <c r="C182" s="1082" t="str">
        <f t="shared" si="19"/>
        <v>LE 05</v>
      </c>
      <c r="D182" s="824" t="s">
        <v>807</v>
      </c>
      <c r="E182" s="861" t="str">
        <f>VLOOKUP(D182,Poeng!$B$10:$R$252,Poeng!E$1,FALSE)</f>
        <v>Management and maintenance throughout the project</v>
      </c>
      <c r="F182" s="122">
        <f>VLOOKUP(D182,Poeng!$B$10:$AB$252,Poeng!AB$1,FALSE)</f>
        <v>1</v>
      </c>
      <c r="G182" s="43"/>
      <c r="H182" s="123">
        <f>VLOOKUP(D182,Poeng!$B$10:$AE$252,Poeng!AE$1,FALSE)</f>
        <v>0</v>
      </c>
      <c r="I182" s="124" t="str">
        <f>VLOOKUP(D182,Poeng!$B$10:$BE$252,Poeng!BE$1,FALSE)</f>
        <v>N/A</v>
      </c>
      <c r="J182" s="80"/>
      <c r="K182" s="281"/>
      <c r="L182" s="796"/>
      <c r="M182" s="816"/>
      <c r="N182" s="83"/>
      <c r="O182" s="123">
        <f>VLOOKUP(D182,Poeng!$B$10:$BC$252,Poeng!AF$1,FALSE)</f>
        <v>0</v>
      </c>
      <c r="P182" s="123" t="str">
        <f>VLOOKUP(D182,Poeng!$B$10:$BH$252,Poeng!BH$1,FALSE)</f>
        <v>N/A</v>
      </c>
      <c r="Q182" s="744"/>
      <c r="R182" s="745"/>
      <c r="S182" s="738"/>
      <c r="T182" s="319"/>
      <c r="U182" s="83"/>
      <c r="V182" s="123">
        <f>VLOOKUP(D182,Poeng!$B$10:$BC$252,Poeng!AG$1,FALSE)</f>
        <v>0</v>
      </c>
      <c r="W182" s="123" t="str">
        <f>VLOOKUP(D182,Poeng!$B$10:$BK$252,Poeng!BK$1,FALSE)</f>
        <v>N/A</v>
      </c>
      <c r="X182" s="81"/>
      <c r="Y182" s="80"/>
      <c r="Z182" s="738"/>
      <c r="AA182" s="133"/>
      <c r="AB182" s="640"/>
      <c r="AC182" s="107">
        <f t="shared" si="21"/>
        <v>1</v>
      </c>
      <c r="AD182" s="3" t="e">
        <f>VLOOKUP(K182,'Assessment Details'!$O$45:$P$48,2,FALSE)</f>
        <v>#N/A</v>
      </c>
      <c r="AE182" s="3" t="e">
        <f>VLOOKUP(R182,'Assessment Details'!$O$45:$P$48,2,FALSE)</f>
        <v>#N/A</v>
      </c>
      <c r="AF182" s="3" t="e">
        <f>VLOOKUP(Y182,'Assessment Details'!$O$45:$P$48,2,FALSE)</f>
        <v>#N/A</v>
      </c>
      <c r="AI182" s="70"/>
      <c r="AJ182" s="671"/>
      <c r="AK182" s="70"/>
      <c r="AL182" s="70"/>
      <c r="AM182" s="70"/>
      <c r="AN182" s="70"/>
      <c r="AO182" s="70"/>
      <c r="AP182" s="70"/>
      <c r="AS182" s="23"/>
      <c r="AT182" s="23"/>
      <c r="AU182" s="23"/>
      <c r="AV182" s="23"/>
      <c r="AW182" s="23"/>
      <c r="AX182" s="23"/>
      <c r="AZ182" s="640"/>
    </row>
    <row r="183" spans="1:52" x14ac:dyDescent="0.25">
      <c r="A183" s="1076">
        <v>174</v>
      </c>
      <c r="B183" s="1077" t="s">
        <v>69</v>
      </c>
      <c r="C183" s="1082" t="str">
        <f t="shared" si="19"/>
        <v>LE 05</v>
      </c>
      <c r="D183" s="824" t="s">
        <v>808</v>
      </c>
      <c r="E183" s="861" t="str">
        <f>VLOOKUP(D183,Poeng!$B$10:$R$252,Poeng!E$1,FALSE)</f>
        <v>Landscape and ecology management plan</v>
      </c>
      <c r="F183" s="122">
        <f>VLOOKUP(D183,Poeng!$B$10:$AB$252,Poeng!AB$1,FALSE)</f>
        <v>1</v>
      </c>
      <c r="G183" s="43"/>
      <c r="H183" s="123">
        <f>VLOOKUP(D183,Poeng!$B$10:$AE$252,Poeng!AE$1,FALSE)</f>
        <v>0</v>
      </c>
      <c r="I183" s="124" t="str">
        <f>VLOOKUP(D183,Poeng!$B$10:$BE$252,Poeng!BE$1,FALSE)</f>
        <v>N/A</v>
      </c>
      <c r="J183" s="80"/>
      <c r="K183" s="281"/>
      <c r="L183" s="796"/>
      <c r="M183" s="816"/>
      <c r="N183" s="83"/>
      <c r="O183" s="123">
        <f>VLOOKUP(D183,Poeng!$B$10:$BC$252,Poeng!AF$1,FALSE)</f>
        <v>0</v>
      </c>
      <c r="P183" s="123" t="str">
        <f>VLOOKUP(D183,Poeng!$B$10:$BH$252,Poeng!BH$1,FALSE)</f>
        <v>N/A</v>
      </c>
      <c r="Q183" s="744"/>
      <c r="R183" s="745"/>
      <c r="S183" s="738"/>
      <c r="T183" s="319"/>
      <c r="U183" s="83"/>
      <c r="V183" s="123">
        <f>VLOOKUP(D183,Poeng!$B$10:$BC$252,Poeng!AG$1,FALSE)</f>
        <v>0</v>
      </c>
      <c r="W183" s="123" t="str">
        <f>VLOOKUP(D183,Poeng!$B$10:$BK$252,Poeng!BK$1,FALSE)</f>
        <v>N/A</v>
      </c>
      <c r="X183" s="81"/>
      <c r="Y183" s="80"/>
      <c r="Z183" s="738"/>
      <c r="AA183" s="133"/>
      <c r="AB183" s="640"/>
      <c r="AC183" s="107">
        <f t="shared" si="21"/>
        <v>1</v>
      </c>
      <c r="AD183" s="3" t="e">
        <f>VLOOKUP(K183,'Assessment Details'!$O$45:$P$48,2,FALSE)</f>
        <v>#N/A</v>
      </c>
      <c r="AE183" s="3" t="e">
        <f>VLOOKUP(R183,'Assessment Details'!$O$45:$P$48,2,FALSE)</f>
        <v>#N/A</v>
      </c>
      <c r="AF183" s="3" t="e">
        <f>VLOOKUP(Y183,'Assessment Details'!$O$45:$P$48,2,FALSE)</f>
        <v>#N/A</v>
      </c>
      <c r="AI183" s="70"/>
      <c r="AJ183" s="671"/>
      <c r="AK183" s="70"/>
      <c r="AL183" s="70"/>
      <c r="AM183" s="70"/>
      <c r="AN183" s="70"/>
      <c r="AO183" s="70"/>
      <c r="AP183" s="70"/>
      <c r="AS183" s="23"/>
      <c r="AT183" s="23"/>
      <c r="AU183" s="23"/>
      <c r="AV183" s="23"/>
      <c r="AW183" s="23"/>
      <c r="AX183" s="23"/>
      <c r="AZ183" s="640"/>
    </row>
    <row r="184" spans="1:52" x14ac:dyDescent="0.25">
      <c r="A184" s="1076">
        <v>175</v>
      </c>
      <c r="B184" s="1077" t="s">
        <v>69</v>
      </c>
      <c r="C184" s="924" t="s">
        <v>183</v>
      </c>
      <c r="D184" s="824" t="s">
        <v>183</v>
      </c>
      <c r="E184" s="860" t="str">
        <f>VLOOKUP(D184,Poeng!$B$10:$R$252,Poeng!E$1,FALSE)</f>
        <v>LE 06 Climate adaption</v>
      </c>
      <c r="F184" s="865">
        <f>VLOOKUP(D184,Poeng!$B$10:$AB$252,Poeng!AB$1,FALSE)</f>
        <v>1</v>
      </c>
      <c r="G184" s="1001"/>
      <c r="H184" s="866" t="str">
        <f>VLOOKUP(D184,Poeng!$B$10:$AI$252,Poeng!AI$1,FALSE)&amp;" c. "&amp;ROUND(VLOOKUP(D184,Poeng!$B$10:$AE$252,Poeng!AE$1,FALSE)*100,1)&amp;" %"</f>
        <v>0 c. 0 %</v>
      </c>
      <c r="I184" s="924" t="str">
        <f>VLOOKUP(D184,Poeng!$B$10:$BE$252,Poeng!BE$1,FALSE)</f>
        <v>N/A</v>
      </c>
      <c r="J184" s="80"/>
      <c r="K184" s="281"/>
      <c r="L184" s="796"/>
      <c r="M184" s="816"/>
      <c r="N184" s="1001"/>
      <c r="O184" s="877" t="str">
        <f>VLOOKUP(D184,Poeng!$B$10:$BC$252,Poeng!AJ$1,FALSE)&amp;" c. "&amp;ROUND(VLOOKUP(D184,Poeng!$B$10:$BC$252,Poeng!AF$1,FALSE)*100,1)&amp;" %"</f>
        <v>0 c. 0 %</v>
      </c>
      <c r="P184" s="123" t="str">
        <f>VLOOKUP(D184,Poeng!$B$10:$BH$252,Poeng!BH$1,FALSE)</f>
        <v>N/A</v>
      </c>
      <c r="Q184" s="744"/>
      <c r="R184" s="745"/>
      <c r="S184" s="738"/>
      <c r="T184" s="319"/>
      <c r="U184" s="1001"/>
      <c r="V184" s="877" t="str">
        <f>VLOOKUP(D184,Poeng!$B$10:$BC$252,Poeng!AK$1,FALSE)&amp;" c. "&amp;ROUND(VLOOKUP(D184,Poeng!$B$10:$BC$252,Poeng!AG$1,FALSE)*100,1)&amp;" %"</f>
        <v>0 c. 0 %</v>
      </c>
      <c r="W184" s="123" t="str">
        <f>VLOOKUP(D184,Poeng!$B$10:$BK$252,Poeng!BK$1,FALSE)</f>
        <v>N/A</v>
      </c>
      <c r="X184" s="81"/>
      <c r="Y184" s="80"/>
      <c r="Z184" s="738"/>
      <c r="AA184" s="133"/>
      <c r="AB184" s="640" t="s">
        <v>14</v>
      </c>
      <c r="AC184" s="107">
        <f t="shared" si="21"/>
        <v>1</v>
      </c>
      <c r="AD184" s="3" t="e">
        <f>VLOOKUP(K184,'Assessment Details'!$O$45:$P$48,2,FALSE)</f>
        <v>#N/A</v>
      </c>
      <c r="AE184" s="3" t="e">
        <f>VLOOKUP(R184,'Assessment Details'!$O$45:$P$48,2,FALSE)</f>
        <v>#N/A</v>
      </c>
      <c r="AF184" s="3" t="e">
        <f>VLOOKUP(Y184,'Assessment Details'!$O$45:$P$48,2,FALSE)</f>
        <v>#N/A</v>
      </c>
      <c r="AI184" s="70"/>
      <c r="AJ184" s="671" t="s">
        <v>166</v>
      </c>
      <c r="AK184" s="70"/>
      <c r="AL184" s="70"/>
      <c r="AM184" s="70"/>
      <c r="AN184" s="70"/>
      <c r="AO184" s="70"/>
      <c r="AP184" s="70"/>
      <c r="AS184" s="23" t="str">
        <f t="shared" si="24"/>
        <v>N/A</v>
      </c>
      <c r="AT184" s="23" t="str">
        <f t="shared" si="25"/>
        <v>N/A</v>
      </c>
      <c r="AU184" s="23" t="str">
        <f t="shared" si="26"/>
        <v>N/A</v>
      </c>
      <c r="AV184" s="23"/>
      <c r="AW184" s="23"/>
      <c r="AX184" s="23"/>
      <c r="AZ184" s="640"/>
    </row>
    <row r="185" spans="1:52" x14ac:dyDescent="0.25">
      <c r="A185" s="1076">
        <v>176</v>
      </c>
      <c r="B185" s="1077" t="s">
        <v>69</v>
      </c>
      <c r="C185" s="1082" t="str">
        <f t="shared" si="19"/>
        <v>LE 06</v>
      </c>
      <c r="D185" s="824" t="s">
        <v>809</v>
      </c>
      <c r="E185" s="861" t="str">
        <f>VLOOKUP(D185,Poeng!$B$10:$R$252,Poeng!E$1,FALSE)</f>
        <v>Risk assessment (EU taxonomy requirement: criterion 1-6)</v>
      </c>
      <c r="F185" s="122">
        <f>VLOOKUP(D185,Poeng!$B$10:$AB$252,Poeng!AB$1,FALSE)</f>
        <v>1</v>
      </c>
      <c r="G185" s="43"/>
      <c r="H185" s="123">
        <f>VLOOKUP(D185,Poeng!$B$10:$AE$252,Poeng!AE$1,FALSE)</f>
        <v>0</v>
      </c>
      <c r="I185" s="124" t="str">
        <f>VLOOKUP(D185,Poeng!$B$10:$BE$252,Poeng!BE$1,FALSE)</f>
        <v>Very Good</v>
      </c>
      <c r="J185" s="80"/>
      <c r="K185" s="281"/>
      <c r="L185" s="796"/>
      <c r="M185" s="816"/>
      <c r="N185" s="83"/>
      <c r="O185" s="123">
        <f>VLOOKUP(D185,Poeng!$B$10:$BC$252,Poeng!AF$1,FALSE)</f>
        <v>0</v>
      </c>
      <c r="P185" s="123" t="str">
        <f>VLOOKUP(D185,Poeng!$B$10:$BH$252,Poeng!BH$1,FALSE)</f>
        <v>Very Good</v>
      </c>
      <c r="Q185" s="744"/>
      <c r="R185" s="745"/>
      <c r="S185" s="738"/>
      <c r="T185" s="319"/>
      <c r="U185" s="83"/>
      <c r="V185" s="123">
        <f>VLOOKUP(D185,Poeng!$B$10:$BC$252,Poeng!AG$1,FALSE)</f>
        <v>0</v>
      </c>
      <c r="W185" s="123" t="str">
        <f>VLOOKUP(D185,Poeng!$B$10:$BK$252,Poeng!BK$1,FALSE)</f>
        <v>Very Good</v>
      </c>
      <c r="X185" s="81"/>
      <c r="Y185" s="80"/>
      <c r="Z185" s="738"/>
      <c r="AA185" s="133"/>
      <c r="AB185" s="714"/>
      <c r="AC185" s="107">
        <f t="shared" si="21"/>
        <v>1</v>
      </c>
      <c r="AD185" s="3" t="e">
        <f>VLOOKUP(K185,'Assessment Details'!$O$45:$P$48,2,FALSE)</f>
        <v>#N/A</v>
      </c>
      <c r="AE185" s="3" t="e">
        <f>VLOOKUP(R185,'Assessment Details'!$O$45:$P$48,2,FALSE)</f>
        <v>#N/A</v>
      </c>
      <c r="AF185" s="3" t="e">
        <f>VLOOKUP(Y185,'Assessment Details'!$O$45:$P$48,2,FALSE)</f>
        <v>#N/A</v>
      </c>
      <c r="AI185" s="70"/>
      <c r="AJ185" s="671"/>
      <c r="AK185" s="70"/>
      <c r="AL185" s="70"/>
      <c r="AM185" s="70"/>
      <c r="AN185" s="70"/>
      <c r="AO185" s="70"/>
      <c r="AP185" s="70"/>
      <c r="AS185" s="23"/>
      <c r="AT185" s="23"/>
      <c r="AU185" s="23"/>
      <c r="AV185" s="23"/>
      <c r="AW185" s="23"/>
      <c r="AX185" s="23"/>
      <c r="AZ185" s="714"/>
    </row>
    <row r="186" spans="1:52" x14ac:dyDescent="0.25">
      <c r="A186" s="1076">
        <v>177</v>
      </c>
      <c r="B186" s="1077" t="s">
        <v>69</v>
      </c>
      <c r="C186" s="924" t="s">
        <v>480</v>
      </c>
      <c r="D186" s="824" t="s">
        <v>480</v>
      </c>
      <c r="E186" s="860" t="str">
        <f>VLOOKUP(D186,Poeng!$B$10:$R$252,Poeng!E$1,FALSE)</f>
        <v>LE 07 Flooding and storm surge</v>
      </c>
      <c r="F186" s="865">
        <f>VLOOKUP(D186,Poeng!$B$10:$AB$252,Poeng!AB$1,FALSE)</f>
        <v>2</v>
      </c>
      <c r="G186" s="1001"/>
      <c r="H186" s="866" t="str">
        <f>VLOOKUP(D186,Poeng!$B$10:$AI$252,Poeng!AI$1,FALSE)&amp;" c. "&amp;ROUND(VLOOKUP(D186,Poeng!$B$10:$AE$252,Poeng!AE$1,FALSE)*100,1)&amp;" %"</f>
        <v>0 c. 0 %</v>
      </c>
      <c r="I186" s="924" t="str">
        <f>VLOOKUP(D186,Poeng!$B$10:$BE$252,Poeng!BE$1,FALSE)</f>
        <v>N/A</v>
      </c>
      <c r="J186" s="80"/>
      <c r="K186" s="281"/>
      <c r="L186" s="796"/>
      <c r="M186" s="816"/>
      <c r="N186" s="1001"/>
      <c r="O186" s="877" t="str">
        <f>VLOOKUP(D186,Poeng!$B$10:$BC$252,Poeng!AJ$1,FALSE)&amp;" c. "&amp;ROUND(VLOOKUP(D186,Poeng!$B$10:$BC$252,Poeng!AF$1,FALSE)*100,1)&amp;" %"</f>
        <v>0 c. 0 %</v>
      </c>
      <c r="P186" s="123" t="str">
        <f>VLOOKUP(D186,Poeng!$B$10:$BH$252,Poeng!BH$1,FALSE)</f>
        <v>N/A</v>
      </c>
      <c r="Q186" s="744"/>
      <c r="R186" s="745"/>
      <c r="S186" s="738"/>
      <c r="T186" s="319"/>
      <c r="U186" s="1001"/>
      <c r="V186" s="877" t="str">
        <f>VLOOKUP(D186,Poeng!$B$10:$BC$252,Poeng!AK$1,FALSE)&amp;" c. "&amp;ROUND(VLOOKUP(D186,Poeng!$B$10:$BC$252,Poeng!AG$1,FALSE)*100,1)&amp;" %"</f>
        <v>0 c. 0 %</v>
      </c>
      <c r="W186" s="123" t="str">
        <f>VLOOKUP(D186,Poeng!$B$10:$BK$252,Poeng!BK$1,FALSE)</f>
        <v>N/A</v>
      </c>
      <c r="X186" s="81"/>
      <c r="Y186" s="80"/>
      <c r="Z186" s="738"/>
      <c r="AA186" s="133"/>
      <c r="AB186" s="714"/>
      <c r="AC186" s="107">
        <f t="shared" si="21"/>
        <v>1</v>
      </c>
      <c r="AD186" s="3" t="e">
        <f>VLOOKUP(K186,'Assessment Details'!$O$45:$P$48,2,FALSE)</f>
        <v>#N/A</v>
      </c>
      <c r="AE186" s="3" t="e">
        <f>VLOOKUP(R186,'Assessment Details'!$O$45:$P$48,2,FALSE)</f>
        <v>#N/A</v>
      </c>
      <c r="AF186" s="3" t="e">
        <f>VLOOKUP(Y186,'Assessment Details'!$O$45:$P$48,2,FALSE)</f>
        <v>#N/A</v>
      </c>
      <c r="AI186" s="70"/>
      <c r="AJ186" s="671"/>
      <c r="AK186" s="70"/>
      <c r="AL186" s="70"/>
      <c r="AM186" s="70"/>
      <c r="AN186" s="70"/>
      <c r="AO186" s="70"/>
      <c r="AP186" s="70"/>
      <c r="AS186" s="23"/>
      <c r="AT186" s="23"/>
      <c r="AU186" s="23"/>
      <c r="AV186" s="23"/>
      <c r="AW186" s="23"/>
      <c r="AX186" s="23"/>
      <c r="AZ186" s="714"/>
    </row>
    <row r="187" spans="1:52" x14ac:dyDescent="0.25">
      <c r="A187" s="1076">
        <v>178</v>
      </c>
      <c r="B187" s="1077" t="s">
        <v>69</v>
      </c>
      <c r="C187" s="1082" t="str">
        <f t="shared" si="19"/>
        <v>LE 07</v>
      </c>
      <c r="D187" s="824" t="s">
        <v>810</v>
      </c>
      <c r="E187" s="861" t="str">
        <f>VLOOKUP(D187,Poeng!$B$10:$R$252,Poeng!E$1,FALSE)</f>
        <v>Pre-requisite: flood risk assessment</v>
      </c>
      <c r="F187" s="122" t="str">
        <f>VLOOKUP(D187,Poeng!$B$10:$AB$252,Poeng!AB$1,FALSE)</f>
        <v>Yes/No</v>
      </c>
      <c r="G187" s="43"/>
      <c r="H187" s="123" t="str">
        <f>VLOOKUP(D187,Poeng!$B$10:$AE$252,Poeng!AE$1,FALSE)</f>
        <v>-</v>
      </c>
      <c r="I187" s="124" t="str">
        <f>VLOOKUP(D187,Poeng!$B$10:$BE$252,Poeng!BE$1,FALSE)</f>
        <v>N/A</v>
      </c>
      <c r="J187" s="80"/>
      <c r="K187" s="281"/>
      <c r="L187" s="796"/>
      <c r="M187" s="816"/>
      <c r="N187" s="83"/>
      <c r="O187" s="123" t="str">
        <f>VLOOKUP(D187,Poeng!$B$10:$BC$252,Poeng!AF$1,FALSE)</f>
        <v>-</v>
      </c>
      <c r="P187" s="123" t="str">
        <f>VLOOKUP(D187,Poeng!$B$10:$BH$252,Poeng!BH$1,FALSE)</f>
        <v>N/A</v>
      </c>
      <c r="Q187" s="744"/>
      <c r="R187" s="745"/>
      <c r="S187" s="738"/>
      <c r="T187" s="319"/>
      <c r="U187" s="83"/>
      <c r="V187" s="123" t="str">
        <f>VLOOKUP(D187,Poeng!$B$10:$BC$252,Poeng!AG$1,FALSE)</f>
        <v>-</v>
      </c>
      <c r="W187" s="123" t="str">
        <f>VLOOKUP(D187,Poeng!$B$10:$BK$252,Poeng!BK$1,FALSE)</f>
        <v>N/A</v>
      </c>
      <c r="X187" s="81"/>
      <c r="Y187" s="80"/>
      <c r="Z187" s="738"/>
      <c r="AA187" s="133"/>
      <c r="AB187" s="714"/>
      <c r="AC187" s="107">
        <f t="shared" si="21"/>
        <v>1</v>
      </c>
      <c r="AD187" s="3" t="e">
        <f>VLOOKUP(K187,'Assessment Details'!$O$45:$P$48,2,FALSE)</f>
        <v>#N/A</v>
      </c>
      <c r="AE187" s="3" t="e">
        <f>VLOOKUP(R187,'Assessment Details'!$O$45:$P$48,2,FALSE)</f>
        <v>#N/A</v>
      </c>
      <c r="AF187" s="3" t="e">
        <f>VLOOKUP(Y187,'Assessment Details'!$O$45:$P$48,2,FALSE)</f>
        <v>#N/A</v>
      </c>
      <c r="AI187" s="70"/>
      <c r="AJ187" s="671"/>
      <c r="AK187" s="70"/>
      <c r="AL187" s="70"/>
      <c r="AM187" s="70"/>
      <c r="AN187" s="70"/>
      <c r="AO187" s="70"/>
      <c r="AP187" s="70"/>
      <c r="AS187" s="23"/>
      <c r="AT187" s="23"/>
      <c r="AU187" s="23"/>
      <c r="AV187" s="23"/>
      <c r="AW187" s="23"/>
      <c r="AX187" s="23"/>
      <c r="AZ187" s="714"/>
    </row>
    <row r="188" spans="1:52" x14ac:dyDescent="0.25">
      <c r="A188" s="1076">
        <v>179</v>
      </c>
      <c r="B188" s="1077" t="s">
        <v>69</v>
      </c>
      <c r="C188" s="1082" t="str">
        <f t="shared" si="19"/>
        <v>LE 07</v>
      </c>
      <c r="D188" s="824" t="s">
        <v>811</v>
      </c>
      <c r="E188" s="861" t="str">
        <f>VLOOKUP(D188,Poeng!$B$10:$R$252,Poeng!E$1,FALSE)</f>
        <v>Resilience against flood and storm surge</v>
      </c>
      <c r="F188" s="122">
        <f>VLOOKUP(D188,Poeng!$B$10:$AB$252,Poeng!AB$1,FALSE)</f>
        <v>2</v>
      </c>
      <c r="G188" s="43"/>
      <c r="H188" s="123">
        <f>VLOOKUP(D188,Poeng!$B$10:$AE$252,Poeng!AE$1,FALSE)</f>
        <v>0</v>
      </c>
      <c r="I188" s="124" t="str">
        <f>VLOOKUP(D188,Poeng!$B$10:$BE$252,Poeng!BE$1,FALSE)</f>
        <v>N/A</v>
      </c>
      <c r="J188" s="80"/>
      <c r="K188" s="281"/>
      <c r="L188" s="796"/>
      <c r="M188" s="816"/>
      <c r="N188" s="83"/>
      <c r="O188" s="123">
        <f>VLOOKUP(D188,Poeng!$B$10:$BC$252,Poeng!AF$1,FALSE)</f>
        <v>0</v>
      </c>
      <c r="P188" s="123" t="str">
        <f>VLOOKUP(D188,Poeng!$B$10:$BH$252,Poeng!BH$1,FALSE)</f>
        <v>N/A</v>
      </c>
      <c r="Q188" s="744"/>
      <c r="R188" s="745"/>
      <c r="S188" s="738"/>
      <c r="T188" s="319"/>
      <c r="U188" s="83"/>
      <c r="V188" s="123">
        <f>VLOOKUP(D188,Poeng!$B$10:$BC$252,Poeng!AG$1,FALSE)</f>
        <v>0</v>
      </c>
      <c r="W188" s="123" t="str">
        <f>VLOOKUP(D188,Poeng!$B$10:$BK$252,Poeng!BK$1,FALSE)</f>
        <v>N/A</v>
      </c>
      <c r="X188" s="81"/>
      <c r="Y188" s="80"/>
      <c r="Z188" s="738"/>
      <c r="AA188" s="133"/>
      <c r="AB188" s="714"/>
      <c r="AC188" s="107">
        <f t="shared" si="21"/>
        <v>1</v>
      </c>
      <c r="AD188" s="3" t="e">
        <f>VLOOKUP(K188,'Assessment Details'!$O$45:$P$48,2,FALSE)</f>
        <v>#N/A</v>
      </c>
      <c r="AE188" s="3" t="e">
        <f>VLOOKUP(R188,'Assessment Details'!$O$45:$P$48,2,FALSE)</f>
        <v>#N/A</v>
      </c>
      <c r="AF188" s="3" t="e">
        <f>VLOOKUP(Y188,'Assessment Details'!$O$45:$P$48,2,FALSE)</f>
        <v>#N/A</v>
      </c>
      <c r="AI188" s="70"/>
      <c r="AJ188" s="671"/>
      <c r="AK188" s="70"/>
      <c r="AL188" s="70"/>
      <c r="AM188" s="70"/>
      <c r="AN188" s="70"/>
      <c r="AO188" s="70"/>
      <c r="AP188" s="70"/>
      <c r="AS188" s="23"/>
      <c r="AT188" s="23"/>
      <c r="AU188" s="23"/>
      <c r="AV188" s="23"/>
      <c r="AW188" s="23"/>
      <c r="AX188" s="23"/>
      <c r="AZ188" s="714"/>
    </row>
    <row r="189" spans="1:52" x14ac:dyDescent="0.25">
      <c r="A189" s="1076">
        <v>180</v>
      </c>
      <c r="B189" s="1077" t="s">
        <v>69</v>
      </c>
      <c r="C189" s="924" t="s">
        <v>481</v>
      </c>
      <c r="D189" s="824" t="s">
        <v>481</v>
      </c>
      <c r="E189" s="860" t="str">
        <f>VLOOKUP(D189,Poeng!$B$10:$R$252,Poeng!E$1,FALSE)</f>
        <v>LE 08 Local surface water handling</v>
      </c>
      <c r="F189" s="865">
        <f>VLOOKUP(D189,Poeng!$B$10:$AB$252,Poeng!AB$1,FALSE)</f>
        <v>3</v>
      </c>
      <c r="G189" s="1001"/>
      <c r="H189" s="866" t="str">
        <f>VLOOKUP(D189,Poeng!$B$10:$AI$252,Poeng!AI$1,FALSE)&amp;" c. "&amp;ROUND(VLOOKUP(D189,Poeng!$B$10:$AE$252,Poeng!AE$1,FALSE)*100,1)&amp;" %"</f>
        <v>0 c. 0 %</v>
      </c>
      <c r="I189" s="924" t="str">
        <f>VLOOKUP(D189,Poeng!$B$10:$BE$252,Poeng!BE$1,FALSE)</f>
        <v>N/A</v>
      </c>
      <c r="J189" s="80"/>
      <c r="K189" s="281"/>
      <c r="L189" s="796"/>
      <c r="M189" s="816"/>
      <c r="N189" s="1001"/>
      <c r="O189" s="877" t="str">
        <f>VLOOKUP(D189,Poeng!$B$10:$BC$252,Poeng!AJ$1,FALSE)&amp;" c. "&amp;ROUND(VLOOKUP(D189,Poeng!$B$10:$BC$252,Poeng!AF$1,FALSE)*100,1)&amp;" %"</f>
        <v>0 c. 0 %</v>
      </c>
      <c r="P189" s="123" t="str">
        <f>VLOOKUP(D189,Poeng!$B$10:$BH$252,Poeng!BH$1,FALSE)</f>
        <v>N/A</v>
      </c>
      <c r="Q189" s="744"/>
      <c r="R189" s="745"/>
      <c r="S189" s="738"/>
      <c r="T189" s="319"/>
      <c r="U189" s="1001"/>
      <c r="V189" s="877" t="str">
        <f>VLOOKUP(D189,Poeng!$B$10:$BC$252,Poeng!AK$1,FALSE)&amp;" c. "&amp;ROUND(VLOOKUP(D189,Poeng!$B$10:$BC$252,Poeng!AG$1,FALSE)*100,1)&amp;" %"</f>
        <v>0 c. 0 %</v>
      </c>
      <c r="W189" s="123" t="str">
        <f>VLOOKUP(D189,Poeng!$B$10:$BK$252,Poeng!BK$1,FALSE)</f>
        <v>N/A</v>
      </c>
      <c r="X189" s="81"/>
      <c r="Y189" s="80"/>
      <c r="Z189" s="738"/>
      <c r="AA189" s="133"/>
      <c r="AB189" s="714"/>
      <c r="AC189" s="107">
        <f t="shared" si="21"/>
        <v>1</v>
      </c>
      <c r="AD189" s="3" t="e">
        <f>VLOOKUP(K189,'Assessment Details'!$O$45:$P$48,2,FALSE)</f>
        <v>#N/A</v>
      </c>
      <c r="AE189" s="3" t="e">
        <f>VLOOKUP(R189,'Assessment Details'!$O$45:$P$48,2,FALSE)</f>
        <v>#N/A</v>
      </c>
      <c r="AF189" s="3" t="e">
        <f>VLOOKUP(Y189,'Assessment Details'!$O$45:$P$48,2,FALSE)</f>
        <v>#N/A</v>
      </c>
      <c r="AI189" s="70"/>
      <c r="AJ189" s="671"/>
      <c r="AK189" s="70"/>
      <c r="AL189" s="70"/>
      <c r="AM189" s="70"/>
      <c r="AN189" s="70"/>
      <c r="AO189" s="70"/>
      <c r="AP189" s="70"/>
      <c r="AS189" s="23"/>
      <c r="AT189" s="23"/>
      <c r="AU189" s="23"/>
      <c r="AV189" s="23"/>
      <c r="AW189" s="23"/>
      <c r="AX189" s="23"/>
      <c r="AZ189" s="714"/>
    </row>
    <row r="190" spans="1:52" x14ac:dyDescent="0.25">
      <c r="A190" s="1076">
        <v>181</v>
      </c>
      <c r="B190" s="1077" t="s">
        <v>69</v>
      </c>
      <c r="C190" s="1082" t="str">
        <f t="shared" si="19"/>
        <v>LE 08</v>
      </c>
      <c r="D190" s="824" t="s">
        <v>812</v>
      </c>
      <c r="E190" s="861" t="str">
        <f>VLOOKUP(D190,Poeng!$B$10:$R$252,Poeng!E$1,FALSE)</f>
        <v>Pre-requisite: risk assessment and the "three- step strategy"</v>
      </c>
      <c r="F190" s="122" t="str">
        <f>VLOOKUP(D190,Poeng!$B$10:$AB$252,Poeng!AB$1,FALSE)</f>
        <v>Yes/No</v>
      </c>
      <c r="G190" s="43"/>
      <c r="H190" s="123" t="str">
        <f>VLOOKUP(D190,Poeng!$B$10:$AE$252,Poeng!AE$1,FALSE)</f>
        <v>-</v>
      </c>
      <c r="I190" s="124" t="str">
        <f>VLOOKUP(D190,Poeng!$B$10:$BE$252,Poeng!BE$1,FALSE)</f>
        <v>N/A</v>
      </c>
      <c r="J190" s="80"/>
      <c r="K190" s="281"/>
      <c r="L190" s="796"/>
      <c r="M190" s="816"/>
      <c r="N190" s="83"/>
      <c r="O190" s="123" t="str">
        <f>VLOOKUP(D190,Poeng!$B$10:$BC$252,Poeng!AF$1,FALSE)</f>
        <v>-</v>
      </c>
      <c r="P190" s="123" t="str">
        <f>VLOOKUP(D190,Poeng!$B$10:$BH$252,Poeng!BH$1,FALSE)</f>
        <v>N/A</v>
      </c>
      <c r="Q190" s="744"/>
      <c r="R190" s="745"/>
      <c r="S190" s="738"/>
      <c r="T190" s="319"/>
      <c r="U190" s="83"/>
      <c r="V190" s="123" t="str">
        <f>VLOOKUP(D190,Poeng!$B$10:$BC$252,Poeng!AG$1,FALSE)</f>
        <v>-</v>
      </c>
      <c r="W190" s="123" t="str">
        <f>VLOOKUP(D190,Poeng!$B$10:$BK$252,Poeng!BK$1,FALSE)</f>
        <v>N/A</v>
      </c>
      <c r="X190" s="81"/>
      <c r="Y190" s="80"/>
      <c r="Z190" s="738"/>
      <c r="AA190" s="133"/>
      <c r="AB190" s="714"/>
      <c r="AC190" s="107">
        <f t="shared" si="21"/>
        <v>1</v>
      </c>
      <c r="AD190" s="3" t="e">
        <f>VLOOKUP(K190,'Assessment Details'!$O$45:$P$48,2,FALSE)</f>
        <v>#N/A</v>
      </c>
      <c r="AE190" s="3" t="e">
        <f>VLOOKUP(R190,'Assessment Details'!$O$45:$P$48,2,FALSE)</f>
        <v>#N/A</v>
      </c>
      <c r="AF190" s="3" t="e">
        <f>VLOOKUP(Y190,'Assessment Details'!$O$45:$P$48,2,FALSE)</f>
        <v>#N/A</v>
      </c>
      <c r="AI190" s="70"/>
      <c r="AJ190" s="671"/>
      <c r="AK190" s="70"/>
      <c r="AL190" s="70"/>
      <c r="AM190" s="70"/>
      <c r="AN190" s="70"/>
      <c r="AO190" s="70"/>
      <c r="AP190" s="70"/>
      <c r="AS190" s="23"/>
      <c r="AT190" s="23"/>
      <c r="AU190" s="23"/>
      <c r="AV190" s="23"/>
      <c r="AW190" s="23"/>
      <c r="AX190" s="23"/>
      <c r="AZ190" s="714"/>
    </row>
    <row r="191" spans="1:52" x14ac:dyDescent="0.25">
      <c r="A191" s="1076">
        <v>182</v>
      </c>
      <c r="B191" s="1077" t="s">
        <v>69</v>
      </c>
      <c r="C191" s="1082" t="str">
        <f>C190</f>
        <v>LE 08</v>
      </c>
      <c r="D191" s="824" t="s">
        <v>813</v>
      </c>
      <c r="E191" s="861" t="str">
        <f>VLOOKUP(D191,Poeng!$B$10:$R$252,Poeng!E$1,FALSE)</f>
        <v>5 mm precipitation</v>
      </c>
      <c r="F191" s="122">
        <f>VLOOKUP(D191,Poeng!$B$10:$AB$252,Poeng!AB$1,FALSE)</f>
        <v>1</v>
      </c>
      <c r="G191" s="43"/>
      <c r="H191" s="123">
        <f>VLOOKUP(D191,Poeng!$B$10:$AE$252,Poeng!AE$1,FALSE)</f>
        <v>0</v>
      </c>
      <c r="I191" s="124" t="str">
        <f>VLOOKUP(D191,Poeng!$B$10:$BE$252,Poeng!BE$1,FALSE)</f>
        <v>N/A</v>
      </c>
      <c r="J191" s="80"/>
      <c r="K191" s="281"/>
      <c r="L191" s="796"/>
      <c r="M191" s="816"/>
      <c r="N191" s="83"/>
      <c r="O191" s="123">
        <f>VLOOKUP(D191,Poeng!$B$10:$BC$252,Poeng!AF$1,FALSE)</f>
        <v>0</v>
      </c>
      <c r="P191" s="123" t="str">
        <f>VLOOKUP(D191,Poeng!$B$10:$BH$252,Poeng!BH$1,FALSE)</f>
        <v>N/A</v>
      </c>
      <c r="Q191" s="744"/>
      <c r="R191" s="745"/>
      <c r="S191" s="738"/>
      <c r="T191" s="319"/>
      <c r="U191" s="83"/>
      <c r="V191" s="123">
        <f>VLOOKUP(D191,Poeng!$B$10:$BC$252,Poeng!AG$1,FALSE)</f>
        <v>0</v>
      </c>
      <c r="W191" s="123" t="str">
        <f>VLOOKUP(D191,Poeng!$B$10:$BK$252,Poeng!BK$1,FALSE)</f>
        <v>N/A</v>
      </c>
      <c r="X191" s="81"/>
      <c r="Y191" s="80"/>
      <c r="Z191" s="738"/>
      <c r="AA191" s="133"/>
      <c r="AB191" s="714"/>
      <c r="AC191" s="107">
        <f t="shared" si="21"/>
        <v>1</v>
      </c>
      <c r="AD191" s="3" t="e">
        <f>VLOOKUP(K191,'Assessment Details'!$O$45:$P$48,2,FALSE)</f>
        <v>#N/A</v>
      </c>
      <c r="AE191" s="3" t="e">
        <f>VLOOKUP(R191,'Assessment Details'!$O$45:$P$48,2,FALSE)</f>
        <v>#N/A</v>
      </c>
      <c r="AF191" s="3" t="e">
        <f>VLOOKUP(Y191,'Assessment Details'!$O$45:$P$48,2,FALSE)</f>
        <v>#N/A</v>
      </c>
      <c r="AI191" s="70"/>
      <c r="AJ191" s="671"/>
      <c r="AK191" s="70"/>
      <c r="AL191" s="70"/>
      <c r="AM191" s="70"/>
      <c r="AN191" s="70"/>
      <c r="AO191" s="70"/>
      <c r="AP191" s="70"/>
      <c r="AS191" s="23"/>
      <c r="AT191" s="23"/>
      <c r="AU191" s="23"/>
      <c r="AV191" s="23"/>
      <c r="AW191" s="23"/>
      <c r="AX191" s="23"/>
      <c r="AZ191" s="714"/>
    </row>
    <row r="192" spans="1:52" x14ac:dyDescent="0.25">
      <c r="A192" s="1076">
        <v>183</v>
      </c>
      <c r="B192" s="1077" t="s">
        <v>69</v>
      </c>
      <c r="C192" s="1082" t="str">
        <f>C190</f>
        <v>LE 08</v>
      </c>
      <c r="D192" s="824" t="s">
        <v>814</v>
      </c>
      <c r="E192" s="861" t="str">
        <f>VLOOKUP(D192,Poeng!$B$10:$R$252,Poeng!E$1,FALSE)</f>
        <v>Maximum run-off</v>
      </c>
      <c r="F192" s="122">
        <f>VLOOKUP(D192,Poeng!$B$10:$AB$252,Poeng!AB$1,FALSE)</f>
        <v>1</v>
      </c>
      <c r="G192" s="43"/>
      <c r="H192" s="123">
        <f>VLOOKUP(D192,Poeng!$B$10:$AE$252,Poeng!AE$1,FALSE)</f>
        <v>0</v>
      </c>
      <c r="I192" s="124" t="str">
        <f>VLOOKUP(D192,Poeng!$B$10:$BE$252,Poeng!BE$1,FALSE)</f>
        <v>N/A</v>
      </c>
      <c r="J192" s="80"/>
      <c r="K192" s="281"/>
      <c r="L192" s="796"/>
      <c r="M192" s="816"/>
      <c r="N192" s="83"/>
      <c r="O192" s="123">
        <f>VLOOKUP(D192,Poeng!$B$10:$BC$252,Poeng!AF$1,FALSE)</f>
        <v>0</v>
      </c>
      <c r="P192" s="123" t="str">
        <f>VLOOKUP(D192,Poeng!$B$10:$BH$252,Poeng!BH$1,FALSE)</f>
        <v>N/A</v>
      </c>
      <c r="Q192" s="744"/>
      <c r="R192" s="745"/>
      <c r="S192" s="738"/>
      <c r="T192" s="319"/>
      <c r="U192" s="83"/>
      <c r="V192" s="123">
        <f>VLOOKUP(D192,Poeng!$B$10:$BC$252,Poeng!AG$1,FALSE)</f>
        <v>0</v>
      </c>
      <c r="W192" s="123" t="str">
        <f>VLOOKUP(D192,Poeng!$B$10:$BK$252,Poeng!BK$1,FALSE)</f>
        <v>N/A</v>
      </c>
      <c r="X192" s="81"/>
      <c r="Y192" s="80"/>
      <c r="Z192" s="738"/>
      <c r="AA192" s="133"/>
      <c r="AB192" s="714"/>
      <c r="AC192" s="107">
        <f t="shared" ref="AC192" si="29">IF(F192="",1,IF(F192=0,2,1))</f>
        <v>1</v>
      </c>
      <c r="AD192" s="3" t="e">
        <f>VLOOKUP(K192,'Assessment Details'!$O$45:$P$48,2,FALSE)</f>
        <v>#N/A</v>
      </c>
      <c r="AE192" s="3" t="e">
        <f>VLOOKUP(R192,'Assessment Details'!$O$45:$P$48,2,FALSE)</f>
        <v>#N/A</v>
      </c>
      <c r="AF192" s="3" t="e">
        <f>VLOOKUP(Y192,'Assessment Details'!$O$45:$P$48,2,FALSE)</f>
        <v>#N/A</v>
      </c>
      <c r="AI192" s="70"/>
      <c r="AJ192" s="671"/>
      <c r="AK192" s="70"/>
      <c r="AL192" s="70"/>
      <c r="AM192" s="70"/>
      <c r="AN192" s="70"/>
      <c r="AO192" s="70"/>
      <c r="AP192" s="70"/>
      <c r="AS192" s="23"/>
      <c r="AT192" s="23"/>
      <c r="AU192" s="23"/>
      <c r="AV192" s="23"/>
      <c r="AW192" s="23"/>
      <c r="AX192" s="23"/>
      <c r="AZ192" s="714"/>
    </row>
    <row r="193" spans="1:52" x14ac:dyDescent="0.25">
      <c r="A193" s="1076">
        <v>184</v>
      </c>
      <c r="B193" s="1077" t="s">
        <v>69</v>
      </c>
      <c r="C193" s="1082" t="str">
        <f>C191</f>
        <v>LE 08</v>
      </c>
      <c r="D193" s="824" t="s">
        <v>960</v>
      </c>
      <c r="E193" s="861" t="str">
        <f>VLOOKUP(D193,Poeng!$B$10:$R$252,Poeng!E$1,FALSE)</f>
        <v>Measures for surface-based water management</v>
      </c>
      <c r="F193" s="122">
        <f>VLOOKUP(D193,Poeng!$B$10:$AB$252,Poeng!AB$1,FALSE)</f>
        <v>1</v>
      </c>
      <c r="G193" s="43"/>
      <c r="H193" s="123">
        <f>VLOOKUP(D193,Poeng!$B$10:$AE$252,Poeng!AE$1,FALSE)</f>
        <v>0</v>
      </c>
      <c r="I193" s="124" t="str">
        <f>VLOOKUP(D193,Poeng!$B$10:$BE$252,Poeng!BE$1,FALSE)</f>
        <v>N/A</v>
      </c>
      <c r="J193" s="80"/>
      <c r="K193" s="281"/>
      <c r="L193" s="796"/>
      <c r="M193" s="816"/>
      <c r="N193" s="83"/>
      <c r="O193" s="123">
        <f>VLOOKUP(D193,Poeng!$B$10:$BC$252,Poeng!AF$1,FALSE)</f>
        <v>0</v>
      </c>
      <c r="P193" s="123" t="str">
        <f>VLOOKUP(D193,Poeng!$B$10:$BH$252,Poeng!BH$1,FALSE)</f>
        <v>N/A</v>
      </c>
      <c r="Q193" s="744"/>
      <c r="R193" s="745"/>
      <c r="S193" s="738"/>
      <c r="T193" s="319"/>
      <c r="U193" s="83"/>
      <c r="V193" s="123">
        <f>VLOOKUP(D193,Poeng!$B$10:$BC$252,Poeng!AG$1,FALSE)</f>
        <v>0</v>
      </c>
      <c r="W193" s="123" t="str">
        <f>VLOOKUP(D193,Poeng!$B$10:$BK$252,Poeng!BK$1,FALSE)</f>
        <v>N/A</v>
      </c>
      <c r="X193" s="81"/>
      <c r="Y193" s="80"/>
      <c r="Z193" s="738"/>
      <c r="AA193" s="133"/>
      <c r="AB193" s="714"/>
      <c r="AC193" s="107">
        <f t="shared" si="21"/>
        <v>1</v>
      </c>
      <c r="AD193" s="3" t="e">
        <f>VLOOKUP(K193,'Assessment Details'!$O$45:$P$48,2,FALSE)</f>
        <v>#N/A</v>
      </c>
      <c r="AE193" s="3" t="e">
        <f>VLOOKUP(R193,'Assessment Details'!$O$45:$P$48,2,FALSE)</f>
        <v>#N/A</v>
      </c>
      <c r="AF193" s="3" t="e">
        <f>VLOOKUP(Y193,'Assessment Details'!$O$45:$P$48,2,FALSE)</f>
        <v>#N/A</v>
      </c>
      <c r="AI193" s="70"/>
      <c r="AJ193" s="671"/>
      <c r="AK193" s="70"/>
      <c r="AL193" s="70"/>
      <c r="AM193" s="70"/>
      <c r="AN193" s="70"/>
      <c r="AO193" s="70"/>
      <c r="AP193" s="70"/>
      <c r="AS193" s="23"/>
      <c r="AT193" s="23"/>
      <c r="AU193" s="23"/>
      <c r="AV193" s="23"/>
      <c r="AW193" s="23"/>
      <c r="AX193" s="23"/>
      <c r="AZ193" s="714"/>
    </row>
    <row r="194" spans="1:52" ht="15.75" thickBot="1" x14ac:dyDescent="0.3">
      <c r="A194" s="1076">
        <v>185</v>
      </c>
      <c r="B194" s="1077" t="s">
        <v>69</v>
      </c>
      <c r="C194" s="1089"/>
      <c r="D194" s="824" t="s">
        <v>888</v>
      </c>
      <c r="E194" s="341" t="s">
        <v>109</v>
      </c>
      <c r="F194" s="125">
        <f>LE_Credits</f>
        <v>19</v>
      </c>
      <c r="G194" s="131"/>
      <c r="H194" s="126">
        <f>LE_cont_tot</f>
        <v>0</v>
      </c>
      <c r="I194" s="867" t="str">
        <f>"Credits achieved: "&amp;Lue_tot_user</f>
        <v>Credits achieved: 0</v>
      </c>
      <c r="J194" s="134"/>
      <c r="K194" s="282"/>
      <c r="L194" s="746"/>
      <c r="M194" s="816"/>
      <c r="N194" s="383"/>
      <c r="O194" s="126">
        <f>VLOOKUP(D194,Poeng!$B$10:$BC$252,Poeng!AF$1,FALSE)</f>
        <v>0</v>
      </c>
      <c r="P194" s="867" t="str">
        <f>"Credits achieved: "&amp;Lue_d_user</f>
        <v>Credits achieved: 0</v>
      </c>
      <c r="Q194" s="747"/>
      <c r="R194" s="748"/>
      <c r="S194" s="746"/>
      <c r="T194" s="319"/>
      <c r="U194" s="383"/>
      <c r="V194" s="126">
        <f>VLOOKUP(D194,Poeng!$B$10:$BC$252,Poeng!AG$1,FALSE)</f>
        <v>0</v>
      </c>
      <c r="W194" s="867" t="str">
        <f>"Credits achieved: "&amp;Lue_c_user</f>
        <v>Credits achieved: 0</v>
      </c>
      <c r="X194" s="382"/>
      <c r="Y194" s="136"/>
      <c r="Z194" s="746"/>
      <c r="AA194" s="133"/>
      <c r="AB194" s="641"/>
      <c r="AC194" s="107">
        <f t="shared" si="21"/>
        <v>1</v>
      </c>
      <c r="AD194" s="276">
        <v>0</v>
      </c>
      <c r="AE194" s="276">
        <v>0</v>
      </c>
      <c r="AF194" s="276">
        <v>0</v>
      </c>
      <c r="AI194" s="70"/>
      <c r="AJ194" s="671" t="s">
        <v>109</v>
      </c>
      <c r="AK194" s="70"/>
      <c r="AL194" s="70"/>
      <c r="AM194" s="70"/>
      <c r="AN194" s="70"/>
      <c r="AO194" s="70"/>
      <c r="AP194" s="70"/>
      <c r="AS194" s="23" t="str">
        <f t="shared" si="24"/>
        <v>N/A</v>
      </c>
      <c r="AT194" s="23" t="str">
        <f t="shared" si="25"/>
        <v>N/A</v>
      </c>
      <c r="AU194" s="23" t="str">
        <f t="shared" si="26"/>
        <v>N/A</v>
      </c>
      <c r="AV194" s="23"/>
      <c r="AW194" s="23"/>
      <c r="AX194" s="23"/>
      <c r="AZ194" s="641"/>
    </row>
    <row r="195" spans="1:52" x14ac:dyDescent="0.25">
      <c r="A195" s="1076">
        <v>186</v>
      </c>
      <c r="B195" s="1077" t="s">
        <v>69</v>
      </c>
      <c r="C195" s="322"/>
      <c r="D195" s="824"/>
      <c r="E195" s="321"/>
      <c r="F195" s="322"/>
      <c r="G195" s="323"/>
      <c r="H195" s="322"/>
      <c r="I195" s="322"/>
      <c r="J195" s="324"/>
      <c r="K195" s="323"/>
      <c r="L195" s="749"/>
      <c r="M195" s="815"/>
      <c r="N195" s="325"/>
      <c r="O195" s="325"/>
      <c r="P195" s="749"/>
      <c r="Q195" s="749"/>
      <c r="R195" s="750"/>
      <c r="S195" s="1094"/>
      <c r="T195" s="326"/>
      <c r="U195" s="325"/>
      <c r="V195" s="325"/>
      <c r="W195" s="749"/>
      <c r="X195" s="324"/>
      <c r="Y195" s="325"/>
      <c r="Z195" s="1094"/>
      <c r="AA195" s="699"/>
      <c r="AB195" s="324"/>
      <c r="AC195" s="107">
        <f t="shared" si="21"/>
        <v>1</v>
      </c>
      <c r="AD195" s="278">
        <v>0</v>
      </c>
      <c r="AE195" s="278">
        <v>0</v>
      </c>
      <c r="AF195" s="278">
        <v>0</v>
      </c>
      <c r="AI195" s="70"/>
      <c r="AJ195" s="671"/>
      <c r="AK195" s="70"/>
      <c r="AL195" s="70"/>
      <c r="AM195" s="70"/>
      <c r="AN195" s="70"/>
      <c r="AO195" s="70"/>
      <c r="AP195" s="70"/>
      <c r="AS195" s="23" t="str">
        <f t="shared" si="24"/>
        <v>N/A</v>
      </c>
      <c r="AT195" s="23" t="str">
        <f t="shared" si="25"/>
        <v>N/A</v>
      </c>
      <c r="AU195" s="23" t="str">
        <f t="shared" si="26"/>
        <v>N/A</v>
      </c>
      <c r="AV195" s="23"/>
      <c r="AW195" s="23"/>
      <c r="AX195" s="23"/>
      <c r="AZ195" s="324"/>
    </row>
    <row r="196" spans="1:52" ht="18.75" x14ac:dyDescent="0.25">
      <c r="A196" s="1076">
        <v>187</v>
      </c>
      <c r="B196" s="1077" t="s">
        <v>70</v>
      </c>
      <c r="C196" s="1084"/>
      <c r="D196" s="824"/>
      <c r="E196" s="327" t="s">
        <v>57</v>
      </c>
      <c r="F196" s="315"/>
      <c r="G196" s="316"/>
      <c r="H196" s="336"/>
      <c r="I196" s="315"/>
      <c r="J196" s="328"/>
      <c r="K196" s="329"/>
      <c r="L196" s="752"/>
      <c r="M196" s="816"/>
      <c r="N196" s="339"/>
      <c r="O196" s="332"/>
      <c r="P196" s="742"/>
      <c r="Q196" s="753"/>
      <c r="R196" s="754"/>
      <c r="S196" s="755"/>
      <c r="T196" s="319"/>
      <c r="U196" s="339"/>
      <c r="V196" s="338"/>
      <c r="W196" s="742"/>
      <c r="X196" s="328"/>
      <c r="Y196" s="338"/>
      <c r="Z196" s="752"/>
      <c r="AA196" s="133"/>
      <c r="AB196" s="337"/>
      <c r="AC196" s="107">
        <f t="shared" si="21"/>
        <v>1</v>
      </c>
      <c r="AD196" s="275">
        <v>0</v>
      </c>
      <c r="AE196" s="275">
        <v>0</v>
      </c>
      <c r="AF196" s="275">
        <v>0</v>
      </c>
      <c r="AI196" s="70"/>
      <c r="AJ196" s="671" t="s">
        <v>57</v>
      </c>
      <c r="AK196" s="70"/>
      <c r="AL196" s="70"/>
      <c r="AM196" s="70"/>
      <c r="AN196" s="70"/>
      <c r="AO196" s="70"/>
      <c r="AP196" s="70"/>
      <c r="AS196" s="23" t="str">
        <f t="shared" si="24"/>
        <v>N/A</v>
      </c>
      <c r="AT196" s="23" t="str">
        <f t="shared" si="25"/>
        <v>N/A</v>
      </c>
      <c r="AU196" s="23" t="str">
        <f t="shared" si="26"/>
        <v>N/A</v>
      </c>
      <c r="AV196" s="23"/>
      <c r="AW196" s="23"/>
      <c r="AX196" s="23"/>
      <c r="AZ196" s="337"/>
    </row>
    <row r="197" spans="1:52" x14ac:dyDescent="0.25">
      <c r="A197" s="1076">
        <v>188</v>
      </c>
      <c r="B197" s="1077" t="s">
        <v>70</v>
      </c>
      <c r="C197" s="924" t="s">
        <v>184</v>
      </c>
      <c r="D197" s="824" t="s">
        <v>184</v>
      </c>
      <c r="E197" s="860" t="str">
        <f>VLOOKUP(D197,Poeng!$B$10:$R$252,Poeng!E$1,FALSE)</f>
        <v>POL 01 Impacts of refrigerants</v>
      </c>
      <c r="F197" s="865">
        <f>VLOOKUP(D197,Poeng!$B$10:$AB$252,Poeng!AB$1,FALSE)</f>
        <v>3</v>
      </c>
      <c r="G197" s="1000"/>
      <c r="H197" s="866" t="str">
        <f>VLOOKUP(D197,Poeng!$B$10:$AI$252,Poeng!AI$1,FALSE)&amp;" c. "&amp;ROUND(VLOOKUP(D197,Poeng!$B$10:$AE$252,Poeng!AE$1,FALSE)*100,1)&amp;" %"</f>
        <v>0 c. 0 %</v>
      </c>
      <c r="I197" s="923" t="str">
        <f>VLOOKUP(D197,Poeng!$B$10:$BE$252,Poeng!BE$1,FALSE)</f>
        <v>N/A</v>
      </c>
      <c r="J197" s="874"/>
      <c r="K197" s="875"/>
      <c r="L197" s="876"/>
      <c r="M197" s="815"/>
      <c r="N197" s="1001"/>
      <c r="O197" s="1093" t="str">
        <f>VLOOKUP(D197,Poeng!$B$10:$BC$252,Poeng!AJ$1,FALSE)&amp;" c. "&amp;ROUND(VLOOKUP(D197,Poeng!$B$10:$BC$252,Poeng!AF$1,FALSE)*100,1)&amp;" %"</f>
        <v>0 c. 0 %</v>
      </c>
      <c r="P197" s="123" t="str">
        <f>VLOOKUP(D197,Poeng!$B$10:$BH$252,Poeng!BH$1,FALSE)</f>
        <v>N/A</v>
      </c>
      <c r="Q197" s="744"/>
      <c r="R197" s="745"/>
      <c r="S197" s="738"/>
      <c r="T197" s="319"/>
      <c r="U197" s="1001"/>
      <c r="V197" s="877" t="str">
        <f>VLOOKUP(D197,Poeng!$B$10:$BC$252,Poeng!AK$1,FALSE)&amp;" c. "&amp;ROUND(VLOOKUP(D197,Poeng!$B$10:$BC$252,Poeng!AG$1,FALSE)*100,1)&amp;" %"</f>
        <v>0 c. 0 %</v>
      </c>
      <c r="W197" s="123" t="str">
        <f>VLOOKUP(D197,Poeng!$B$10:$BK$252,Poeng!BK$1,FALSE)</f>
        <v>N/A</v>
      </c>
      <c r="X197" s="81"/>
      <c r="Y197" s="80"/>
      <c r="Z197" s="738"/>
      <c r="AA197" s="133"/>
      <c r="AB197" s="640" t="s">
        <v>13</v>
      </c>
      <c r="AC197" s="107">
        <f t="shared" si="21"/>
        <v>1</v>
      </c>
      <c r="AD197" s="3" t="e">
        <f>VLOOKUP(K197,'Assessment Details'!$O$45:$P$48,2,FALSE)</f>
        <v>#N/A</v>
      </c>
      <c r="AE197" s="3" t="e">
        <f>VLOOKUP(R197,'Assessment Details'!$O$45:$P$48,2,FALSE)</f>
        <v>#N/A</v>
      </c>
      <c r="AF197" s="3" t="e">
        <f>VLOOKUP(Y197,'Assessment Details'!$O$45:$P$48,2,FALSE)</f>
        <v>#N/A</v>
      </c>
      <c r="AI197" s="70" t="str">
        <f>ais_ja</f>
        <v>Ja</v>
      </c>
      <c r="AJ197" s="671" t="s">
        <v>163</v>
      </c>
      <c r="AK197" s="648" t="s">
        <v>405</v>
      </c>
      <c r="AL197" s="648" t="s">
        <v>409</v>
      </c>
      <c r="AM197" s="648" t="s">
        <v>407</v>
      </c>
      <c r="AN197" s="654" t="s">
        <v>410</v>
      </c>
      <c r="AO197" s="70"/>
      <c r="AP197" s="70"/>
      <c r="AR197" s="1" t="s">
        <v>13</v>
      </c>
      <c r="AS197" s="23" t="str">
        <f t="shared" si="24"/>
        <v>N/A</v>
      </c>
      <c r="AT197" s="23" t="str">
        <f t="shared" si="25"/>
        <v>N/A</v>
      </c>
      <c r="AU197" s="23" t="str">
        <f t="shared" si="26"/>
        <v>N/A</v>
      </c>
      <c r="AV197" s="23" t="str">
        <f t="shared" si="26"/>
        <v>N/A</v>
      </c>
      <c r="AW197" s="23"/>
      <c r="AX197" s="23"/>
      <c r="AZ197" s="640"/>
    </row>
    <row r="198" spans="1:52" x14ac:dyDescent="0.25">
      <c r="A198" s="1076">
        <v>189</v>
      </c>
      <c r="B198" s="1077" t="s">
        <v>70</v>
      </c>
      <c r="C198" s="1082" t="str">
        <f t="shared" si="19"/>
        <v>POL 01</v>
      </c>
      <c r="D198" s="824" t="s">
        <v>815</v>
      </c>
      <c r="E198" s="861" t="str">
        <f>VLOOKUP(D198,Poeng!$B$10:$R$252,Poeng!E$1,FALSE)</f>
        <v>No refrigerants in the building</v>
      </c>
      <c r="F198" s="122">
        <f>VLOOKUP(D198,Poeng!$B$10:$AB$252,Poeng!AB$1,FALSE)</f>
        <v>3</v>
      </c>
      <c r="G198" s="43"/>
      <c r="H198" s="123">
        <f>VLOOKUP(D198,Poeng!$B$10:$AE$252,Poeng!AE$1,FALSE)</f>
        <v>0</v>
      </c>
      <c r="I198" s="124" t="str">
        <f>VLOOKUP(D198,Poeng!$B$10:$BE$252,Poeng!BE$1,FALSE)</f>
        <v>N/A</v>
      </c>
      <c r="J198" s="80"/>
      <c r="K198" s="281"/>
      <c r="L198" s="796"/>
      <c r="M198" s="816"/>
      <c r="N198" s="83"/>
      <c r="O198" s="123">
        <f>VLOOKUP(D198,Poeng!$B$10:$BC$252,Poeng!AF$1,FALSE)</f>
        <v>0</v>
      </c>
      <c r="P198" s="123" t="str">
        <f>VLOOKUP(D198,Poeng!$B$10:$BH$252,Poeng!BH$1,FALSE)</f>
        <v>N/A</v>
      </c>
      <c r="Q198" s="744"/>
      <c r="R198" s="745"/>
      <c r="S198" s="738"/>
      <c r="T198" s="319"/>
      <c r="U198" s="83"/>
      <c r="V198" s="123">
        <f>VLOOKUP(D198,Poeng!$B$10:$BC$252,Poeng!AG$1,FALSE)</f>
        <v>0</v>
      </c>
      <c r="W198" s="123" t="str">
        <f>VLOOKUP(D198,Poeng!$B$10:$BK$252,Poeng!BK$1,FALSE)</f>
        <v>N/A</v>
      </c>
      <c r="X198" s="81"/>
      <c r="Y198" s="80"/>
      <c r="Z198" s="738"/>
      <c r="AA198" s="133"/>
      <c r="AB198" s="640"/>
      <c r="AC198" s="107">
        <f t="shared" si="21"/>
        <v>1</v>
      </c>
      <c r="AD198" s="3" t="e">
        <f>VLOOKUP(K198,'Assessment Details'!$O$45:$P$48,2,FALSE)</f>
        <v>#N/A</v>
      </c>
      <c r="AE198" s="3" t="e">
        <f>VLOOKUP(R198,'Assessment Details'!$O$45:$P$48,2,FALSE)</f>
        <v>#N/A</v>
      </c>
      <c r="AF198" s="3" t="e">
        <f>VLOOKUP(Y198,'Assessment Details'!$O$45:$P$48,2,FALSE)</f>
        <v>#N/A</v>
      </c>
      <c r="AI198" s="70"/>
      <c r="AJ198" s="671"/>
      <c r="AK198" s="648"/>
      <c r="AL198" s="648"/>
      <c r="AM198" s="648"/>
      <c r="AN198" s="654"/>
      <c r="AO198" s="70"/>
      <c r="AP198" s="70"/>
      <c r="AS198" s="23"/>
      <c r="AT198" s="23"/>
      <c r="AU198" s="23"/>
      <c r="AV198" s="23"/>
      <c r="AW198" s="23"/>
      <c r="AX198" s="23"/>
      <c r="AZ198" s="640"/>
    </row>
    <row r="199" spans="1:52" x14ac:dyDescent="0.25">
      <c r="A199" s="1076">
        <v>190</v>
      </c>
      <c r="B199" s="1077" t="s">
        <v>70</v>
      </c>
      <c r="C199" s="1082" t="str">
        <f t="shared" si="19"/>
        <v>POL 01</v>
      </c>
      <c r="D199" s="824" t="s">
        <v>816</v>
      </c>
      <c r="E199" s="861" t="str">
        <f>VLOOKUP(D199,Poeng!$B$10:$R$252,Poeng!E$1,FALSE)</f>
        <v>Pre-requisite: impact of refrigerants</v>
      </c>
      <c r="F199" s="122">
        <f>VLOOKUP(D199,Poeng!$B$10:$AB$252,Poeng!AB$1,FALSE)</f>
        <v>0</v>
      </c>
      <c r="G199" s="43"/>
      <c r="H199" s="123" t="str">
        <f>VLOOKUP(D199,Poeng!$B$10:$AE$252,Poeng!AE$1,FALSE)</f>
        <v>-</v>
      </c>
      <c r="I199" s="124" t="str">
        <f>VLOOKUP(D199,Poeng!$B$10:$BE$252,Poeng!BE$1,FALSE)</f>
        <v>N/A</v>
      </c>
      <c r="J199" s="80"/>
      <c r="K199" s="281"/>
      <c r="L199" s="796"/>
      <c r="M199" s="816"/>
      <c r="N199" s="83"/>
      <c r="O199" s="123" t="str">
        <f>VLOOKUP(D199,Poeng!$B$10:$BC$252,Poeng!AF$1,FALSE)</f>
        <v>-</v>
      </c>
      <c r="P199" s="123" t="str">
        <f>VLOOKUP(D199,Poeng!$B$10:$BH$252,Poeng!BH$1,FALSE)</f>
        <v>N/A</v>
      </c>
      <c r="Q199" s="744"/>
      <c r="R199" s="745"/>
      <c r="S199" s="738"/>
      <c r="T199" s="319"/>
      <c r="U199" s="83"/>
      <c r="V199" s="123" t="str">
        <f>VLOOKUP(D199,Poeng!$B$10:$BC$252,Poeng!AG$1,FALSE)</f>
        <v>-</v>
      </c>
      <c r="W199" s="123" t="str">
        <f>VLOOKUP(D199,Poeng!$B$10:$BK$252,Poeng!BK$1,FALSE)</f>
        <v>N/A</v>
      </c>
      <c r="X199" s="81"/>
      <c r="Y199" s="80"/>
      <c r="Z199" s="738"/>
      <c r="AA199" s="133"/>
      <c r="AB199" s="640"/>
      <c r="AC199" s="107">
        <f t="shared" si="21"/>
        <v>2</v>
      </c>
      <c r="AD199" s="3" t="e">
        <f>VLOOKUP(K199,'Assessment Details'!$O$45:$P$48,2,FALSE)</f>
        <v>#N/A</v>
      </c>
      <c r="AE199" s="3" t="e">
        <f>VLOOKUP(R199,'Assessment Details'!$O$45:$P$48,2,FALSE)</f>
        <v>#N/A</v>
      </c>
      <c r="AF199" s="3" t="e">
        <f>VLOOKUP(Y199,'Assessment Details'!$O$45:$P$48,2,FALSE)</f>
        <v>#N/A</v>
      </c>
      <c r="AI199" s="70"/>
      <c r="AJ199" s="671"/>
      <c r="AK199" s="648"/>
      <c r="AL199" s="648"/>
      <c r="AM199" s="648"/>
      <c r="AN199" s="654"/>
      <c r="AO199" s="70"/>
      <c r="AP199" s="70"/>
      <c r="AS199" s="23"/>
      <c r="AT199" s="23"/>
      <c r="AU199" s="23"/>
      <c r="AV199" s="23"/>
      <c r="AW199" s="23"/>
      <c r="AX199" s="23"/>
      <c r="AZ199" s="640"/>
    </row>
    <row r="200" spans="1:52" x14ac:dyDescent="0.25">
      <c r="A200" s="1076">
        <v>191</v>
      </c>
      <c r="B200" s="1077" t="s">
        <v>70</v>
      </c>
      <c r="C200" s="1082" t="str">
        <f t="shared" si="19"/>
        <v>POL 01</v>
      </c>
      <c r="D200" s="824" t="s">
        <v>817</v>
      </c>
      <c r="E200" s="861" t="str">
        <f>VLOOKUP(D200,Poeng!$B$10:$R$252,Poeng!E$1,FALSE)</f>
        <v>Impact of refrigerants</v>
      </c>
      <c r="F200" s="122">
        <f>VLOOKUP(D200,Poeng!$B$10:$AB$252,Poeng!AB$1,FALSE)</f>
        <v>0</v>
      </c>
      <c r="G200" s="43"/>
      <c r="H200" s="123">
        <f>VLOOKUP(D200,Poeng!$B$10:$AE$252,Poeng!AE$1,FALSE)</f>
        <v>0</v>
      </c>
      <c r="I200" s="124" t="str">
        <f>VLOOKUP(D200,Poeng!$B$10:$BE$252,Poeng!BE$1,FALSE)</f>
        <v>N/A</v>
      </c>
      <c r="J200" s="80"/>
      <c r="K200" s="281"/>
      <c r="L200" s="796"/>
      <c r="M200" s="816"/>
      <c r="N200" s="83"/>
      <c r="O200" s="123">
        <f>VLOOKUP(D200,Poeng!$B$10:$BC$252,Poeng!AF$1,FALSE)</f>
        <v>0</v>
      </c>
      <c r="P200" s="123" t="str">
        <f>VLOOKUP(D200,Poeng!$B$10:$BH$252,Poeng!BH$1,FALSE)</f>
        <v>N/A</v>
      </c>
      <c r="Q200" s="744"/>
      <c r="R200" s="745"/>
      <c r="S200" s="738"/>
      <c r="T200" s="319"/>
      <c r="U200" s="83"/>
      <c r="V200" s="123">
        <f>VLOOKUP(D200,Poeng!$B$10:$BC$252,Poeng!AG$1,FALSE)</f>
        <v>0</v>
      </c>
      <c r="W200" s="123" t="str">
        <f>VLOOKUP(D200,Poeng!$B$10:$BK$252,Poeng!BK$1,FALSE)</f>
        <v>N/A</v>
      </c>
      <c r="X200" s="81"/>
      <c r="Y200" s="80"/>
      <c r="Z200" s="738"/>
      <c r="AA200" s="133"/>
      <c r="AB200" s="640"/>
      <c r="AC200" s="107">
        <f t="shared" si="21"/>
        <v>2</v>
      </c>
      <c r="AD200" s="3" t="e">
        <f>VLOOKUP(K200,'Assessment Details'!$O$45:$P$48,2,FALSE)</f>
        <v>#N/A</v>
      </c>
      <c r="AE200" s="3" t="e">
        <f>VLOOKUP(R200,'Assessment Details'!$O$45:$P$48,2,FALSE)</f>
        <v>#N/A</v>
      </c>
      <c r="AF200" s="3" t="e">
        <f>VLOOKUP(Y200,'Assessment Details'!$O$45:$P$48,2,FALSE)</f>
        <v>#N/A</v>
      </c>
      <c r="AI200" s="70"/>
      <c r="AJ200" s="671"/>
      <c r="AK200" s="648"/>
      <c r="AL200" s="648"/>
      <c r="AM200" s="648"/>
      <c r="AN200" s="654"/>
      <c r="AO200" s="70"/>
      <c r="AP200" s="70"/>
      <c r="AS200" s="23"/>
      <c r="AT200" s="23"/>
      <c r="AU200" s="23"/>
      <c r="AV200" s="23"/>
      <c r="AW200" s="23"/>
      <c r="AX200" s="23"/>
      <c r="AZ200" s="640"/>
    </row>
    <row r="201" spans="1:52" x14ac:dyDescent="0.25">
      <c r="A201" s="1076">
        <v>192</v>
      </c>
      <c r="B201" s="1077" t="s">
        <v>70</v>
      </c>
      <c r="C201" s="1082" t="str">
        <f>C199</f>
        <v>POL 01</v>
      </c>
      <c r="D201" s="824" t="s">
        <v>896</v>
      </c>
      <c r="E201" s="861" t="str">
        <f>VLOOKUP(D201,Poeng!$B$10:$R$252,Poeng!E$1,FALSE)</f>
        <v>Leak detection</v>
      </c>
      <c r="F201" s="122">
        <f>VLOOKUP(D201,Poeng!$B$10:$AB$252,Poeng!AB$1,FALSE)</f>
        <v>0</v>
      </c>
      <c r="G201" s="43"/>
      <c r="H201" s="123">
        <f>VLOOKUP(D201,Poeng!$B$10:$AE$252,Poeng!AE$1,FALSE)</f>
        <v>0</v>
      </c>
      <c r="I201" s="124" t="str">
        <f>VLOOKUP(D201,Poeng!$B$10:$BE$252,Poeng!BE$1,FALSE)</f>
        <v>N/A</v>
      </c>
      <c r="J201" s="80"/>
      <c r="K201" s="281"/>
      <c r="L201" s="796"/>
      <c r="M201" s="816"/>
      <c r="N201" s="83"/>
      <c r="O201" s="123">
        <f>VLOOKUP(D201,Poeng!$B$10:$BC$252,Poeng!AF$1,FALSE)</f>
        <v>0</v>
      </c>
      <c r="P201" s="123" t="str">
        <f>VLOOKUP(D201,Poeng!$B$10:$BH$252,Poeng!BH$1,FALSE)</f>
        <v>N/A</v>
      </c>
      <c r="Q201" s="744"/>
      <c r="R201" s="745"/>
      <c r="S201" s="738"/>
      <c r="T201" s="319"/>
      <c r="U201" s="83"/>
      <c r="V201" s="123">
        <f>VLOOKUP(D201,Poeng!$B$10:$BC$252,Poeng!AG$1,FALSE)</f>
        <v>0</v>
      </c>
      <c r="W201" s="123" t="str">
        <f>VLOOKUP(D201,Poeng!$B$10:$BK$252,Poeng!BK$1,FALSE)</f>
        <v>N/A</v>
      </c>
      <c r="X201" s="81"/>
      <c r="Y201" s="80"/>
      <c r="Z201" s="738"/>
      <c r="AA201" s="133"/>
      <c r="AB201" s="640"/>
      <c r="AC201" s="107">
        <f t="shared" si="21"/>
        <v>2</v>
      </c>
      <c r="AD201" s="3" t="e">
        <f>VLOOKUP(K201,'Assessment Details'!$O$45:$P$48,2,FALSE)</f>
        <v>#N/A</v>
      </c>
      <c r="AE201" s="3" t="e">
        <f>VLOOKUP(R201,'Assessment Details'!$O$45:$P$48,2,FALSE)</f>
        <v>#N/A</v>
      </c>
      <c r="AF201" s="3" t="e">
        <f>VLOOKUP(Y201,'Assessment Details'!$O$45:$P$48,2,FALSE)</f>
        <v>#N/A</v>
      </c>
      <c r="AI201" s="70"/>
      <c r="AJ201" s="671"/>
      <c r="AK201" s="648"/>
      <c r="AL201" s="648"/>
      <c r="AM201" s="648"/>
      <c r="AN201" s="654"/>
      <c r="AO201" s="70"/>
      <c r="AP201" s="70"/>
      <c r="AS201" s="23"/>
      <c r="AT201" s="23"/>
      <c r="AU201" s="23"/>
      <c r="AV201" s="23"/>
      <c r="AW201" s="23"/>
      <c r="AX201" s="23"/>
      <c r="AZ201" s="640"/>
    </row>
    <row r="202" spans="1:52" x14ac:dyDescent="0.25">
      <c r="A202" s="1076">
        <v>193</v>
      </c>
      <c r="B202" s="1077" t="s">
        <v>70</v>
      </c>
      <c r="C202" s="924" t="s">
        <v>185</v>
      </c>
      <c r="D202" s="824" t="s">
        <v>185</v>
      </c>
      <c r="E202" s="860" t="str">
        <f>VLOOKUP(D202,Poeng!$B$10:$R$252,Poeng!E$1,FALSE)</f>
        <v>POL 02 Local air quality</v>
      </c>
      <c r="F202" s="865">
        <f>VLOOKUP(D202,Poeng!$B$10:$AB$252,Poeng!AB$1,FALSE)</f>
        <v>2</v>
      </c>
      <c r="G202" s="1001"/>
      <c r="H202" s="866" t="str">
        <f>VLOOKUP(D202,Poeng!$B$10:$AI$252,Poeng!AI$1,FALSE)&amp;" c. "&amp;ROUND(VLOOKUP(D202,Poeng!$B$10:$AE$252,Poeng!AE$1,FALSE)*100,1)&amp;" %"</f>
        <v>0 c. 0 %</v>
      </c>
      <c r="I202" s="924" t="str">
        <f>VLOOKUP(D202,Poeng!$B$10:$BE$252,Poeng!BE$1,FALSE)</f>
        <v>N/A</v>
      </c>
      <c r="J202" s="80"/>
      <c r="K202" s="281"/>
      <c r="L202" s="796"/>
      <c r="M202" s="816"/>
      <c r="N202" s="1001"/>
      <c r="O202" s="877" t="str">
        <f>VLOOKUP(D202,Poeng!$B$10:$BC$252,Poeng!AJ$1,FALSE)&amp;" c. "&amp;ROUND(VLOOKUP(D202,Poeng!$B$10:$BC$252,Poeng!AF$1,FALSE)*100,1)&amp;" %"</f>
        <v>0 c. 0 %</v>
      </c>
      <c r="P202" s="123" t="str">
        <f>VLOOKUP(D202,Poeng!$B$10:$BH$252,Poeng!BH$1,FALSE)</f>
        <v>N/A</v>
      </c>
      <c r="Q202" s="744"/>
      <c r="R202" s="745"/>
      <c r="S202" s="738"/>
      <c r="T202" s="319"/>
      <c r="U202" s="1001"/>
      <c r="V202" s="877" t="str">
        <f>VLOOKUP(D202,Poeng!$B$10:$BC$252,Poeng!AK$1,FALSE)&amp;" c. "&amp;ROUND(VLOOKUP(D202,Poeng!$B$10:$BC$252,Poeng!AG$1,FALSE)*100,1)&amp;" %"</f>
        <v>0 c. 0 %</v>
      </c>
      <c r="W202" s="123" t="str">
        <f>VLOOKUP(D202,Poeng!$B$10:$BK$252,Poeng!BK$1,FALSE)</f>
        <v>N/A</v>
      </c>
      <c r="X202" s="81"/>
      <c r="Y202" s="80"/>
      <c r="Z202" s="738"/>
      <c r="AA202" s="133"/>
      <c r="AB202" s="640" t="s">
        <v>13</v>
      </c>
      <c r="AC202" s="107">
        <f t="shared" si="21"/>
        <v>1</v>
      </c>
      <c r="AD202" s="3" t="e">
        <f>VLOOKUP(K202,'Assessment Details'!$O$45:$P$48,2,FALSE)</f>
        <v>#N/A</v>
      </c>
      <c r="AE202" s="3" t="e">
        <f>VLOOKUP(R202,'Assessment Details'!$O$45:$P$48,2,FALSE)</f>
        <v>#N/A</v>
      </c>
      <c r="AF202" s="3" t="e">
        <f>VLOOKUP(Y202,'Assessment Details'!$O$45:$P$48,2,FALSE)</f>
        <v>#N/A</v>
      </c>
      <c r="AI202" s="70" t="str">
        <f>ais_ja</f>
        <v>Ja</v>
      </c>
      <c r="AJ202" s="671" t="s">
        <v>396</v>
      </c>
      <c r="AK202" s="648" t="s">
        <v>405</v>
      </c>
      <c r="AL202" s="648" t="s">
        <v>409</v>
      </c>
      <c r="AM202" s="648" t="s">
        <v>407</v>
      </c>
      <c r="AN202" s="70"/>
      <c r="AO202" s="70"/>
      <c r="AP202" s="70"/>
      <c r="AR202" s="1" t="s">
        <v>13</v>
      </c>
      <c r="AS202" s="23" t="str">
        <f t="shared" si="24"/>
        <v>N/A</v>
      </c>
      <c r="AT202" s="23" t="str">
        <f t="shared" si="25"/>
        <v>N/A</v>
      </c>
      <c r="AU202" s="23" t="str">
        <f t="shared" si="26"/>
        <v>N/A</v>
      </c>
      <c r="AV202" s="23"/>
      <c r="AW202" s="23"/>
      <c r="AX202" s="23"/>
      <c r="AZ202" s="640"/>
    </row>
    <row r="203" spans="1:52" x14ac:dyDescent="0.25">
      <c r="A203" s="1076">
        <v>194</v>
      </c>
      <c r="B203" s="1077" t="s">
        <v>70</v>
      </c>
      <c r="C203" s="1082" t="str">
        <f t="shared" si="19"/>
        <v>POL 02</v>
      </c>
      <c r="D203" s="824" t="s">
        <v>818</v>
      </c>
      <c r="E203" s="861" t="str">
        <f>VLOOKUP(D203,Poeng!$B$10:$R$252,Poeng!E$1,FALSE)</f>
        <v>Non-combustion heating and hot water system</v>
      </c>
      <c r="F203" s="122">
        <f>VLOOKUP(D203,Poeng!$B$10:$AB$252,Poeng!AB$1,FALSE)</f>
        <v>2</v>
      </c>
      <c r="G203" s="43"/>
      <c r="H203" s="123">
        <f>VLOOKUP(D203,Poeng!$B$10:$AE$252,Poeng!AE$1,FALSE)</f>
        <v>0</v>
      </c>
      <c r="I203" s="124" t="str">
        <f>VLOOKUP(D203,Poeng!$B$10:$BE$252,Poeng!BE$1,FALSE)</f>
        <v>N/A</v>
      </c>
      <c r="J203" s="80"/>
      <c r="K203" s="281"/>
      <c r="L203" s="796"/>
      <c r="M203" s="816"/>
      <c r="N203" s="83"/>
      <c r="O203" s="123">
        <f>VLOOKUP(D203,Poeng!$B$10:$BC$252,Poeng!AF$1,FALSE)</f>
        <v>0</v>
      </c>
      <c r="P203" s="123" t="str">
        <f>VLOOKUP(D203,Poeng!$B$10:$BH$252,Poeng!BH$1,FALSE)</f>
        <v>N/A</v>
      </c>
      <c r="Q203" s="744"/>
      <c r="R203" s="745"/>
      <c r="S203" s="738"/>
      <c r="T203" s="319"/>
      <c r="U203" s="83"/>
      <c r="V203" s="123">
        <f>VLOOKUP(D203,Poeng!$B$10:$BC$252,Poeng!AG$1,FALSE)</f>
        <v>0</v>
      </c>
      <c r="W203" s="123" t="str">
        <f>VLOOKUP(D203,Poeng!$B$10:$BK$252,Poeng!BK$1,FALSE)</f>
        <v>N/A</v>
      </c>
      <c r="X203" s="81"/>
      <c r="Y203" s="80"/>
      <c r="Z203" s="738"/>
      <c r="AA203" s="133"/>
      <c r="AB203" s="640"/>
      <c r="AC203" s="107">
        <f t="shared" si="21"/>
        <v>1</v>
      </c>
      <c r="AD203" s="3" t="e">
        <f>VLOOKUP(K203,'Assessment Details'!$O$45:$P$48,2,FALSE)</f>
        <v>#N/A</v>
      </c>
      <c r="AE203" s="3" t="e">
        <f>VLOOKUP(R203,'Assessment Details'!$O$45:$P$48,2,FALSE)</f>
        <v>#N/A</v>
      </c>
      <c r="AF203" s="3" t="e">
        <f>VLOOKUP(Y203,'Assessment Details'!$O$45:$P$48,2,FALSE)</f>
        <v>#N/A</v>
      </c>
      <c r="AI203" s="70"/>
      <c r="AJ203" s="671"/>
      <c r="AK203" s="648"/>
      <c r="AL203" s="648"/>
      <c r="AM203" s="648"/>
      <c r="AN203" s="70"/>
      <c r="AO203" s="70"/>
      <c r="AP203" s="70"/>
      <c r="AS203" s="23"/>
      <c r="AT203" s="23"/>
      <c r="AU203" s="23"/>
      <c r="AV203" s="23"/>
      <c r="AW203" s="23"/>
      <c r="AX203" s="23"/>
      <c r="AZ203" s="640"/>
    </row>
    <row r="204" spans="1:52" x14ac:dyDescent="0.25">
      <c r="A204" s="1076">
        <v>195</v>
      </c>
      <c r="B204" s="1077" t="s">
        <v>70</v>
      </c>
      <c r="C204" s="1082" t="str">
        <f t="shared" si="19"/>
        <v>POL 02</v>
      </c>
      <c r="D204" s="824" t="s">
        <v>819</v>
      </c>
      <c r="E204" s="861" t="str">
        <f>VLOOKUP(D204,Poeng!$B$10:$R$252,Poeng!E$1,FALSE)</f>
        <v>Combustion-powered heating and hot water</v>
      </c>
      <c r="F204" s="122">
        <f>VLOOKUP(D204,Poeng!$B$10:$AB$252,Poeng!AB$1,FALSE)</f>
        <v>0</v>
      </c>
      <c r="G204" s="43"/>
      <c r="H204" s="123">
        <f>VLOOKUP(D204,Poeng!$B$10:$AE$252,Poeng!AE$1,FALSE)</f>
        <v>0</v>
      </c>
      <c r="I204" s="124" t="str">
        <f>VLOOKUP(D204,Poeng!$B$10:$BE$252,Poeng!BE$1,FALSE)</f>
        <v>N/A</v>
      </c>
      <c r="J204" s="80"/>
      <c r="K204" s="281"/>
      <c r="L204" s="796"/>
      <c r="M204" s="816"/>
      <c r="N204" s="83"/>
      <c r="O204" s="123">
        <f>VLOOKUP(D204,Poeng!$B$10:$BC$252,Poeng!AF$1,FALSE)</f>
        <v>0</v>
      </c>
      <c r="P204" s="123" t="str">
        <f>VLOOKUP(D204,Poeng!$B$10:$BH$252,Poeng!BH$1,FALSE)</f>
        <v>N/A</v>
      </c>
      <c r="Q204" s="744"/>
      <c r="R204" s="745"/>
      <c r="S204" s="738"/>
      <c r="T204" s="319"/>
      <c r="U204" s="83"/>
      <c r="V204" s="123">
        <f>VLOOKUP(D204,Poeng!$B$10:$BC$252,Poeng!AG$1,FALSE)</f>
        <v>0</v>
      </c>
      <c r="W204" s="123" t="str">
        <f>VLOOKUP(D204,Poeng!$B$10:$BK$252,Poeng!BK$1,FALSE)</f>
        <v>N/A</v>
      </c>
      <c r="X204" s="81"/>
      <c r="Y204" s="80"/>
      <c r="Z204" s="738"/>
      <c r="AA204" s="133"/>
      <c r="AB204" s="640"/>
      <c r="AC204" s="107">
        <f t="shared" si="21"/>
        <v>2</v>
      </c>
      <c r="AD204" s="3" t="e">
        <f>VLOOKUP(K204,'Assessment Details'!$O$45:$P$48,2,FALSE)</f>
        <v>#N/A</v>
      </c>
      <c r="AE204" s="3" t="e">
        <f>VLOOKUP(R204,'Assessment Details'!$O$45:$P$48,2,FALSE)</f>
        <v>#N/A</v>
      </c>
      <c r="AF204" s="3" t="e">
        <f>VLOOKUP(Y204,'Assessment Details'!$O$45:$P$48,2,FALSE)</f>
        <v>#N/A</v>
      </c>
      <c r="AI204" s="70"/>
      <c r="AJ204" s="671"/>
      <c r="AK204" s="648"/>
      <c r="AL204" s="648"/>
      <c r="AM204" s="648"/>
      <c r="AN204" s="70"/>
      <c r="AO204" s="70"/>
      <c r="AP204" s="70"/>
      <c r="AS204" s="23"/>
      <c r="AT204" s="23"/>
      <c r="AU204" s="23"/>
      <c r="AV204" s="23"/>
      <c r="AW204" s="23"/>
      <c r="AX204" s="23"/>
      <c r="AZ204" s="640"/>
    </row>
    <row r="205" spans="1:52" x14ac:dyDescent="0.25">
      <c r="A205" s="1076">
        <v>196</v>
      </c>
      <c r="B205" s="1077" t="s">
        <v>70</v>
      </c>
      <c r="C205" s="924" t="s">
        <v>187</v>
      </c>
      <c r="D205" s="824" t="s">
        <v>187</v>
      </c>
      <c r="E205" s="860" t="str">
        <f>VLOOKUP(D205,Poeng!$B$10:$R$252,Poeng!E$1,FALSE)</f>
        <v>POL 04 Reduction of night time light pollution</v>
      </c>
      <c r="F205" s="865">
        <f>VLOOKUP(D205,Poeng!$B$10:$AB$252,Poeng!AB$1,FALSE)</f>
        <v>1</v>
      </c>
      <c r="G205" s="1001"/>
      <c r="H205" s="866" t="str">
        <f>VLOOKUP(D205,Poeng!$B$10:$AI$252,Poeng!AI$1,FALSE)&amp;" c. "&amp;ROUND(VLOOKUP(D205,Poeng!$B$10:$AE$252,Poeng!AE$1,FALSE)*100,1)&amp;" %"</f>
        <v>0 c. 0 %</v>
      </c>
      <c r="I205" s="924" t="str">
        <f>VLOOKUP(D205,Poeng!$B$10:$BE$252,Poeng!BE$1,FALSE)</f>
        <v>N/A</v>
      </c>
      <c r="J205" s="80"/>
      <c r="K205" s="281"/>
      <c r="L205" s="796"/>
      <c r="M205" s="816"/>
      <c r="N205" s="1001"/>
      <c r="O205" s="877" t="str">
        <f>VLOOKUP(D205,Poeng!$B$10:$BC$252,Poeng!AJ$1,FALSE)&amp;" c. "&amp;ROUND(VLOOKUP(D205,Poeng!$B$10:$BC$252,Poeng!AF$1,FALSE)*100,1)&amp;" %"</f>
        <v>0 c. 0 %</v>
      </c>
      <c r="P205" s="123" t="str">
        <f>VLOOKUP(D205,Poeng!$B$10:$BH$252,Poeng!BH$1,FALSE)</f>
        <v>N/A</v>
      </c>
      <c r="Q205" s="744"/>
      <c r="R205" s="745"/>
      <c r="S205" s="738"/>
      <c r="T205" s="319"/>
      <c r="U205" s="1001"/>
      <c r="V205" s="877" t="str">
        <f>VLOOKUP(D205,Poeng!$B$10:$BC$252,Poeng!AK$1,FALSE)&amp;" c. "&amp;ROUND(VLOOKUP(D205,Poeng!$B$10:$BC$252,Poeng!AG$1,FALSE)*100,1)&amp;" %"</f>
        <v>0 c. 0 %</v>
      </c>
      <c r="W205" s="123" t="str">
        <f>VLOOKUP(D205,Poeng!$B$10:$BK$252,Poeng!BK$1,FALSE)</f>
        <v>N/A</v>
      </c>
      <c r="X205" s="81"/>
      <c r="Y205" s="80"/>
      <c r="Z205" s="738"/>
      <c r="AA205" s="133"/>
      <c r="AB205" s="640" t="s">
        <v>13</v>
      </c>
      <c r="AC205" s="107">
        <f t="shared" si="21"/>
        <v>1</v>
      </c>
      <c r="AD205" s="3" t="e">
        <f>VLOOKUP(K205,'Assessment Details'!$O$45:$P$48,2,FALSE)</f>
        <v>#N/A</v>
      </c>
      <c r="AE205" s="3" t="e">
        <f>VLOOKUP(R205,'Assessment Details'!$O$45:$P$48,2,FALSE)</f>
        <v>#N/A</v>
      </c>
      <c r="AF205" s="3" t="e">
        <f>VLOOKUP(Y205,'Assessment Details'!$O$45:$P$48,2,FALSE)</f>
        <v>#N/A</v>
      </c>
      <c r="AI205" s="70" t="str">
        <f>ais_ja</f>
        <v>Ja</v>
      </c>
      <c r="AJ205" s="671" t="s">
        <v>164</v>
      </c>
      <c r="AK205" s="648" t="s">
        <v>405</v>
      </c>
      <c r="AL205" s="648" t="s">
        <v>409</v>
      </c>
      <c r="AM205" s="648" t="s">
        <v>407</v>
      </c>
      <c r="AN205" s="70"/>
      <c r="AO205" s="70"/>
      <c r="AP205" s="70"/>
      <c r="AR205" s="1" t="s">
        <v>13</v>
      </c>
      <c r="AS205" s="23" t="str">
        <f t="shared" si="24"/>
        <v>N/A</v>
      </c>
      <c r="AT205" s="23" t="str">
        <f t="shared" si="25"/>
        <v>N/A</v>
      </c>
      <c r="AU205" s="23" t="str">
        <f t="shared" si="26"/>
        <v>N/A</v>
      </c>
      <c r="AV205" s="23"/>
      <c r="AW205" s="23"/>
      <c r="AX205" s="23"/>
      <c r="AZ205" s="640"/>
    </row>
    <row r="206" spans="1:52" x14ac:dyDescent="0.25">
      <c r="A206" s="1076">
        <v>197</v>
      </c>
      <c r="B206" s="1077" t="s">
        <v>70</v>
      </c>
      <c r="C206" s="1082" t="str">
        <f t="shared" si="19"/>
        <v>POL 04</v>
      </c>
      <c r="D206" s="824" t="s">
        <v>820</v>
      </c>
      <c r="E206" s="861" t="str">
        <f>VLOOKUP(D206,Poeng!$B$10:$R$252,Poeng!E$1,FALSE)</f>
        <v xml:space="preserve">No external lighting pollution </v>
      </c>
      <c r="F206" s="122">
        <f>VLOOKUP(D206,Poeng!$B$10:$AB$252,Poeng!AB$1,FALSE)</f>
        <v>1</v>
      </c>
      <c r="G206" s="43"/>
      <c r="H206" s="123">
        <f>VLOOKUP(D206,Poeng!$B$10:$AE$252,Poeng!AE$1,FALSE)</f>
        <v>0</v>
      </c>
      <c r="I206" s="124" t="str">
        <f>VLOOKUP(D206,Poeng!$B$10:$BE$252,Poeng!BE$1,FALSE)</f>
        <v>N/A</v>
      </c>
      <c r="J206" s="80"/>
      <c r="K206" s="281"/>
      <c r="L206" s="796"/>
      <c r="M206" s="816"/>
      <c r="N206" s="83"/>
      <c r="O206" s="123">
        <f>VLOOKUP(D206,Poeng!$B$10:$BC$252,Poeng!AF$1,FALSE)</f>
        <v>0</v>
      </c>
      <c r="P206" s="123" t="str">
        <f>VLOOKUP(D206,Poeng!$B$10:$BH$252,Poeng!BH$1,FALSE)</f>
        <v>N/A</v>
      </c>
      <c r="Q206" s="744"/>
      <c r="R206" s="745"/>
      <c r="S206" s="738"/>
      <c r="T206" s="319"/>
      <c r="U206" s="83"/>
      <c r="V206" s="123">
        <f>VLOOKUP(D206,Poeng!$B$10:$BC$252,Poeng!AG$1,FALSE)</f>
        <v>0</v>
      </c>
      <c r="W206" s="123" t="str">
        <f>VLOOKUP(D206,Poeng!$B$10:$BK$252,Poeng!BK$1,FALSE)</f>
        <v>N/A</v>
      </c>
      <c r="X206" s="81"/>
      <c r="Y206" s="80"/>
      <c r="Z206" s="738"/>
      <c r="AA206" s="133"/>
      <c r="AB206" s="640"/>
      <c r="AC206" s="107">
        <f t="shared" si="21"/>
        <v>1</v>
      </c>
      <c r="AD206" s="3" t="e">
        <f>VLOOKUP(K206,'Assessment Details'!$O$45:$P$48,2,FALSE)</f>
        <v>#N/A</v>
      </c>
      <c r="AE206" s="3" t="e">
        <f>VLOOKUP(R206,'Assessment Details'!$O$45:$P$48,2,FALSE)</f>
        <v>#N/A</v>
      </c>
      <c r="AF206" s="3" t="e">
        <f>VLOOKUP(Y206,'Assessment Details'!$O$45:$P$48,2,FALSE)</f>
        <v>#N/A</v>
      </c>
      <c r="AI206" s="70"/>
      <c r="AJ206" s="671"/>
      <c r="AK206" s="648"/>
      <c r="AL206" s="648"/>
      <c r="AM206" s="648"/>
      <c r="AN206" s="70"/>
      <c r="AO206" s="70"/>
      <c r="AP206" s="70"/>
      <c r="AS206" s="23"/>
      <c r="AT206" s="23"/>
      <c r="AU206" s="23"/>
      <c r="AV206" s="23"/>
      <c r="AW206" s="23"/>
      <c r="AX206" s="23"/>
      <c r="AZ206" s="640"/>
    </row>
    <row r="207" spans="1:52" x14ac:dyDescent="0.25">
      <c r="A207" s="1076">
        <v>198</v>
      </c>
      <c r="B207" s="1077" t="s">
        <v>70</v>
      </c>
      <c r="C207" s="1082" t="str">
        <f t="shared" si="19"/>
        <v>POL 04</v>
      </c>
      <c r="D207" s="824" t="s">
        <v>821</v>
      </c>
      <c r="E207" s="861" t="str">
        <f>VLOOKUP(D207,Poeng!$B$10:$R$252,Poeng!E$1,FALSE)</f>
        <v>Minimizing external light pollution</v>
      </c>
      <c r="F207" s="122">
        <f>VLOOKUP(D207,Poeng!$B$10:$AB$252,Poeng!AB$1,FALSE)</f>
        <v>0</v>
      </c>
      <c r="G207" s="43"/>
      <c r="H207" s="123">
        <f>VLOOKUP(D207,Poeng!$B$10:$AE$252,Poeng!AE$1,FALSE)</f>
        <v>0</v>
      </c>
      <c r="I207" s="124" t="str">
        <f>VLOOKUP(D207,Poeng!$B$10:$BE$252,Poeng!BE$1,FALSE)</f>
        <v>N/A</v>
      </c>
      <c r="J207" s="80"/>
      <c r="K207" s="281"/>
      <c r="L207" s="796"/>
      <c r="M207" s="816"/>
      <c r="N207" s="83"/>
      <c r="O207" s="123">
        <f>VLOOKUP(D207,Poeng!$B$10:$BC$252,Poeng!AF$1,FALSE)</f>
        <v>0</v>
      </c>
      <c r="P207" s="123" t="str">
        <f>VLOOKUP(D207,Poeng!$B$10:$BH$252,Poeng!BH$1,FALSE)</f>
        <v>N/A</v>
      </c>
      <c r="Q207" s="744"/>
      <c r="R207" s="745"/>
      <c r="S207" s="738"/>
      <c r="T207" s="319"/>
      <c r="U207" s="83"/>
      <c r="V207" s="123">
        <f>VLOOKUP(D207,Poeng!$B$10:$BC$252,Poeng!AG$1,FALSE)</f>
        <v>0</v>
      </c>
      <c r="W207" s="123" t="str">
        <f>VLOOKUP(D207,Poeng!$B$10:$BK$252,Poeng!BK$1,FALSE)</f>
        <v>N/A</v>
      </c>
      <c r="X207" s="81"/>
      <c r="Y207" s="80"/>
      <c r="Z207" s="738"/>
      <c r="AA207" s="133"/>
      <c r="AB207" s="640"/>
      <c r="AC207" s="107">
        <f t="shared" si="21"/>
        <v>2</v>
      </c>
      <c r="AD207" s="3" t="e">
        <f>VLOOKUP(K207,'Assessment Details'!$O$45:$P$48,2,FALSE)</f>
        <v>#N/A</v>
      </c>
      <c r="AE207" s="3" t="e">
        <f>VLOOKUP(R207,'Assessment Details'!$O$45:$P$48,2,FALSE)</f>
        <v>#N/A</v>
      </c>
      <c r="AF207" s="3" t="e">
        <f>VLOOKUP(Y207,'Assessment Details'!$O$45:$P$48,2,FALSE)</f>
        <v>#N/A</v>
      </c>
      <c r="AI207" s="70"/>
      <c r="AJ207" s="671"/>
      <c r="AK207" s="648"/>
      <c r="AL207" s="648"/>
      <c r="AM207" s="648"/>
      <c r="AN207" s="70"/>
      <c r="AO207" s="70"/>
      <c r="AP207" s="70"/>
      <c r="AS207" s="23"/>
      <c r="AT207" s="23"/>
      <c r="AU207" s="23"/>
      <c r="AV207" s="23"/>
      <c r="AW207" s="23"/>
      <c r="AX207" s="23"/>
      <c r="AZ207" s="640"/>
    </row>
    <row r="208" spans="1:52" x14ac:dyDescent="0.25">
      <c r="A208" s="1076">
        <v>199</v>
      </c>
      <c r="B208" s="1077" t="s">
        <v>70</v>
      </c>
      <c r="C208" s="924" t="s">
        <v>188</v>
      </c>
      <c r="D208" s="824" t="s">
        <v>188</v>
      </c>
      <c r="E208" s="860" t="str">
        <f>VLOOKUP(D208,Poeng!$B$10:$R$252,Poeng!E$1,FALSE)</f>
        <v>POL 05 Reduction of noise pollution</v>
      </c>
      <c r="F208" s="865">
        <f>VLOOKUP(D208,Poeng!$B$10:$AB$252,Poeng!AB$1,FALSE)</f>
        <v>1</v>
      </c>
      <c r="G208" s="1001"/>
      <c r="H208" s="866" t="str">
        <f>VLOOKUP(D208,Poeng!$B$10:$AI$252,Poeng!AI$1,FALSE)&amp;" c. "&amp;ROUND(VLOOKUP(D208,Poeng!$B$10:$AE$252,Poeng!AE$1,FALSE)*100,1)&amp;" %"</f>
        <v>0 c. 0 %</v>
      </c>
      <c r="I208" s="924" t="str">
        <f>VLOOKUP(D208,Poeng!$B$10:$BE$252,Poeng!BE$1,FALSE)</f>
        <v>N/A</v>
      </c>
      <c r="J208" s="80"/>
      <c r="K208" s="281"/>
      <c r="L208" s="796"/>
      <c r="M208" s="816"/>
      <c r="N208" s="1001"/>
      <c r="O208" s="877" t="str">
        <f>VLOOKUP(D208,Poeng!$B$10:$BC$252,Poeng!AJ$1,FALSE)&amp;" c. "&amp;ROUND(VLOOKUP(D208,Poeng!$B$10:$BC$252,Poeng!AF$1,FALSE)*100,1)&amp;" %"</f>
        <v>0 c. 0 %</v>
      </c>
      <c r="P208" s="123" t="str">
        <f>VLOOKUP(D208,Poeng!$B$10:$BH$252,Poeng!BH$1,FALSE)</f>
        <v>N/A</v>
      </c>
      <c r="Q208" s="744"/>
      <c r="R208" s="745"/>
      <c r="S208" s="738"/>
      <c r="T208" s="319"/>
      <c r="U208" s="1001"/>
      <c r="V208" s="877" t="str">
        <f>VLOOKUP(D208,Poeng!$B$10:$BC$252,Poeng!AK$1,FALSE)&amp;" c. "&amp;ROUND(VLOOKUP(D208,Poeng!$B$10:$BC$252,Poeng!AG$1,FALSE)*100,1)&amp;" %"</f>
        <v>0 c. 0 %</v>
      </c>
      <c r="W208" s="123" t="str">
        <f>VLOOKUP(D208,Poeng!$B$10:$BK$252,Poeng!BK$1,FALSE)</f>
        <v>N/A</v>
      </c>
      <c r="X208" s="81"/>
      <c r="Y208" s="80"/>
      <c r="Z208" s="738"/>
      <c r="AA208" s="133"/>
      <c r="AB208" s="640" t="s">
        <v>13</v>
      </c>
      <c r="AC208" s="107">
        <f t="shared" si="21"/>
        <v>1</v>
      </c>
      <c r="AD208" s="3" t="e">
        <f>VLOOKUP(K208,'Assessment Details'!$O$45:$P$48,2,FALSE)</f>
        <v>#N/A</v>
      </c>
      <c r="AE208" s="3" t="e">
        <f>VLOOKUP(R208,'Assessment Details'!$O$45:$P$48,2,FALSE)</f>
        <v>#N/A</v>
      </c>
      <c r="AF208" s="3" t="e">
        <f>VLOOKUP(Y208,'Assessment Details'!$O$45:$P$48,2,FALSE)</f>
        <v>#N/A</v>
      </c>
      <c r="AI208" s="70" t="str">
        <f>ais_ja</f>
        <v>Ja</v>
      </c>
      <c r="AJ208" s="671" t="s">
        <v>167</v>
      </c>
      <c r="AK208" s="648" t="s">
        <v>405</v>
      </c>
      <c r="AL208" s="648" t="s">
        <v>409</v>
      </c>
      <c r="AM208" s="648" t="s">
        <v>407</v>
      </c>
      <c r="AN208" s="70"/>
      <c r="AO208" s="70"/>
      <c r="AP208" s="70"/>
      <c r="AR208" s="1" t="s">
        <v>13</v>
      </c>
      <c r="AS208" s="23" t="str">
        <f t="shared" si="24"/>
        <v>N/A</v>
      </c>
      <c r="AT208" s="23" t="str">
        <f t="shared" si="25"/>
        <v>N/A</v>
      </c>
      <c r="AU208" s="23" t="str">
        <f t="shared" si="26"/>
        <v>N/A</v>
      </c>
      <c r="AV208" s="23"/>
      <c r="AW208" s="23"/>
      <c r="AX208" s="23"/>
      <c r="AZ208" s="640"/>
    </row>
    <row r="209" spans="1:52" x14ac:dyDescent="0.25">
      <c r="A209" s="1076">
        <v>200</v>
      </c>
      <c r="B209" s="1077" t="s">
        <v>70</v>
      </c>
      <c r="C209" s="1082" t="str">
        <f t="shared" si="19"/>
        <v>POL 05</v>
      </c>
      <c r="D209" s="824" t="s">
        <v>822</v>
      </c>
      <c r="E209" s="861" t="str">
        <f>VLOOKUP(D209,Poeng!$B$10:$R$252,Poeng!E$1,FALSE)</f>
        <v>No noise-sensitive areas</v>
      </c>
      <c r="F209" s="122">
        <f>VLOOKUP(D209,Poeng!$B$10:$AB$252,Poeng!AB$1,FALSE)</f>
        <v>1</v>
      </c>
      <c r="G209" s="43"/>
      <c r="H209" s="123">
        <f>VLOOKUP(D209,Poeng!$B$10:$AE$252,Poeng!AE$1,FALSE)</f>
        <v>0</v>
      </c>
      <c r="I209" s="124" t="str">
        <f>VLOOKUP(D209,Poeng!$B$10:$BE$252,Poeng!BE$1,FALSE)</f>
        <v>N/A</v>
      </c>
      <c r="J209" s="80"/>
      <c r="K209" s="281"/>
      <c r="L209" s="796"/>
      <c r="M209" s="816"/>
      <c r="N209" s="83"/>
      <c r="O209" s="123">
        <f>VLOOKUP(D209,Poeng!$B$10:$BC$252,Poeng!AF$1,FALSE)</f>
        <v>0</v>
      </c>
      <c r="P209" s="123" t="str">
        <f>VLOOKUP(D209,Poeng!$B$10:$BH$252,Poeng!BH$1,FALSE)</f>
        <v>N/A</v>
      </c>
      <c r="Q209" s="744"/>
      <c r="R209" s="745"/>
      <c r="S209" s="738"/>
      <c r="T209" s="319"/>
      <c r="U209" s="83"/>
      <c r="V209" s="123">
        <f>VLOOKUP(D209,Poeng!$B$10:$BC$252,Poeng!AG$1,FALSE)</f>
        <v>0</v>
      </c>
      <c r="W209" s="123" t="str">
        <f>VLOOKUP(D209,Poeng!$B$10:$BK$252,Poeng!BK$1,FALSE)</f>
        <v>N/A</v>
      </c>
      <c r="X209" s="81"/>
      <c r="Y209" s="80"/>
      <c r="Z209" s="738"/>
      <c r="AA209" s="133"/>
      <c r="AB209" s="714"/>
      <c r="AC209" s="107">
        <f t="shared" si="21"/>
        <v>1</v>
      </c>
      <c r="AD209" s="3" t="e">
        <f>VLOOKUP(K209,'Assessment Details'!$O$45:$P$48,2,FALSE)</f>
        <v>#N/A</v>
      </c>
      <c r="AE209" s="3" t="e">
        <f>VLOOKUP(R209,'Assessment Details'!$O$45:$P$48,2,FALSE)</f>
        <v>#N/A</v>
      </c>
      <c r="AF209" s="3" t="e">
        <f>VLOOKUP(Y209,'Assessment Details'!$O$45:$P$48,2,FALSE)</f>
        <v>#N/A</v>
      </c>
      <c r="AI209" s="70"/>
      <c r="AJ209" s="671"/>
      <c r="AK209" s="648"/>
      <c r="AL209" s="648"/>
      <c r="AM209" s="648"/>
      <c r="AN209" s="70"/>
      <c r="AO209" s="70"/>
      <c r="AP209" s="70"/>
      <c r="AS209" s="23"/>
      <c r="AT209" s="23"/>
      <c r="AU209" s="23"/>
      <c r="AV209" s="23"/>
      <c r="AW209" s="23"/>
      <c r="AX209" s="23"/>
      <c r="AZ209" s="714"/>
    </row>
    <row r="210" spans="1:52" x14ac:dyDescent="0.25">
      <c r="A210" s="1076">
        <v>201</v>
      </c>
      <c r="B210" s="1077" t="s">
        <v>70</v>
      </c>
      <c r="C210" s="1082" t="str">
        <f t="shared" si="19"/>
        <v>POL 05</v>
      </c>
      <c r="D210" s="824" t="s">
        <v>823</v>
      </c>
      <c r="E210" s="861" t="str">
        <f>VLOOKUP(D210,Poeng!$B$10:$R$252,Poeng!E$1,FALSE)</f>
        <v>Minimizing noise pollution in noise-sensitive areas</v>
      </c>
      <c r="F210" s="122">
        <f>VLOOKUP(D210,Poeng!$B$10:$AB$252,Poeng!AB$1,FALSE)</f>
        <v>0</v>
      </c>
      <c r="G210" s="43"/>
      <c r="H210" s="123">
        <f>VLOOKUP(D210,Poeng!$B$10:$AE$252,Poeng!AE$1,FALSE)</f>
        <v>0</v>
      </c>
      <c r="I210" s="124" t="str">
        <f>VLOOKUP(D210,Poeng!$B$10:$BE$252,Poeng!BE$1,FALSE)</f>
        <v>N/A</v>
      </c>
      <c r="J210" s="80"/>
      <c r="K210" s="281"/>
      <c r="L210" s="796"/>
      <c r="M210" s="816"/>
      <c r="N210" s="83"/>
      <c r="O210" s="123">
        <f>VLOOKUP(D210,Poeng!$B$10:$BC$252,Poeng!AF$1,FALSE)</f>
        <v>0</v>
      </c>
      <c r="P210" s="123" t="str">
        <f>VLOOKUP(D210,Poeng!$B$10:$BH$252,Poeng!BH$1,FALSE)</f>
        <v>N/A</v>
      </c>
      <c r="Q210" s="744"/>
      <c r="R210" s="745"/>
      <c r="S210" s="738"/>
      <c r="T210" s="319"/>
      <c r="U210" s="83"/>
      <c r="V210" s="123">
        <f>VLOOKUP(D210,Poeng!$B$10:$BC$252,Poeng!AG$1,FALSE)</f>
        <v>0</v>
      </c>
      <c r="W210" s="123" t="str">
        <f>VLOOKUP(D210,Poeng!$B$10:$BK$252,Poeng!BK$1,FALSE)</f>
        <v>N/A</v>
      </c>
      <c r="X210" s="81"/>
      <c r="Y210" s="80"/>
      <c r="Z210" s="738"/>
      <c r="AA210" s="133"/>
      <c r="AB210" s="714"/>
      <c r="AC210" s="107">
        <f t="shared" si="21"/>
        <v>2</v>
      </c>
      <c r="AD210" s="3" t="e">
        <f>VLOOKUP(K210,'Assessment Details'!$O$45:$P$48,2,FALSE)</f>
        <v>#N/A</v>
      </c>
      <c r="AE210" s="3" t="e">
        <f>VLOOKUP(R210,'Assessment Details'!$O$45:$P$48,2,FALSE)</f>
        <v>#N/A</v>
      </c>
      <c r="AF210" s="3" t="e">
        <f>VLOOKUP(Y210,'Assessment Details'!$O$45:$P$48,2,FALSE)</f>
        <v>#N/A</v>
      </c>
      <c r="AI210" s="70"/>
      <c r="AJ210" s="671"/>
      <c r="AK210" s="648"/>
      <c r="AL210" s="648"/>
      <c r="AM210" s="648"/>
      <c r="AN210" s="70"/>
      <c r="AO210" s="70"/>
      <c r="AP210" s="70"/>
      <c r="AS210" s="23"/>
      <c r="AT210" s="23"/>
      <c r="AU210" s="23"/>
      <c r="AV210" s="23"/>
      <c r="AW210" s="23"/>
      <c r="AX210" s="23"/>
      <c r="AZ210" s="714"/>
    </row>
    <row r="211" spans="1:52" ht="15.75" thickBot="1" x14ac:dyDescent="0.3">
      <c r="A211" s="1076">
        <v>202</v>
      </c>
      <c r="B211" s="1077" t="s">
        <v>70</v>
      </c>
      <c r="C211" s="1083"/>
      <c r="D211" s="824" t="s">
        <v>889</v>
      </c>
      <c r="E211" s="320" t="s">
        <v>110</v>
      </c>
      <c r="F211" s="125">
        <f>Pol_Credits</f>
        <v>7</v>
      </c>
      <c r="G211" s="131"/>
      <c r="H211" s="126">
        <f>Pol_cont_tot</f>
        <v>0</v>
      </c>
      <c r="I211" s="867" t="str">
        <f>"Credits achieved: "&amp;Pol_tot_user</f>
        <v>Credits achieved: 0</v>
      </c>
      <c r="J211" s="134"/>
      <c r="K211" s="282"/>
      <c r="L211" s="746"/>
      <c r="M211" s="816"/>
      <c r="N211" s="383"/>
      <c r="O211" s="126">
        <f>VLOOKUP(D211,Poeng!$B$10:$BC$252,Poeng!AF$1,FALSE)</f>
        <v>0</v>
      </c>
      <c r="P211" s="867" t="str">
        <f>"Credits achieved: "&amp;Pol_d_user</f>
        <v>Credits achieved: 0</v>
      </c>
      <c r="Q211" s="747"/>
      <c r="R211" s="748"/>
      <c r="S211" s="746"/>
      <c r="T211" s="319"/>
      <c r="U211" s="383"/>
      <c r="V211" s="126">
        <f>VLOOKUP(D211,Poeng!$B$10:$BC$252,Poeng!AG$1,FALSE)</f>
        <v>0</v>
      </c>
      <c r="W211" s="867" t="str">
        <f>"Credits achieved: "&amp;Pol_c_user</f>
        <v>Credits achieved: 0</v>
      </c>
      <c r="X211" s="382"/>
      <c r="Y211" s="136"/>
      <c r="Z211" s="746"/>
      <c r="AA211" s="133"/>
      <c r="AB211" s="641"/>
      <c r="AC211" s="107">
        <f t="shared" si="21"/>
        <v>1</v>
      </c>
      <c r="AD211" s="276">
        <v>0</v>
      </c>
      <c r="AE211" s="276">
        <v>0</v>
      </c>
      <c r="AF211" s="276">
        <v>0</v>
      </c>
      <c r="AI211" s="70"/>
      <c r="AJ211" s="671" t="s">
        <v>110</v>
      </c>
      <c r="AK211" s="70"/>
      <c r="AL211" s="70"/>
      <c r="AM211" s="70"/>
      <c r="AN211" s="70"/>
      <c r="AO211" s="70"/>
      <c r="AP211" s="70"/>
      <c r="AS211" s="23" t="str">
        <f t="shared" si="24"/>
        <v>N/A</v>
      </c>
      <c r="AT211" s="23" t="str">
        <f t="shared" si="25"/>
        <v>N/A</v>
      </c>
      <c r="AU211" s="23" t="str">
        <f t="shared" si="26"/>
        <v>N/A</v>
      </c>
      <c r="AV211" s="23"/>
      <c r="AW211" s="23"/>
      <c r="AX211" s="23"/>
      <c r="AZ211" s="641"/>
    </row>
    <row r="212" spans="1:52" x14ac:dyDescent="0.25">
      <c r="A212" s="1076">
        <v>203</v>
      </c>
      <c r="B212" s="1077" t="s">
        <v>70</v>
      </c>
      <c r="C212" s="322"/>
      <c r="D212" s="824"/>
      <c r="E212" s="321"/>
      <c r="F212" s="322"/>
      <c r="G212" s="323"/>
      <c r="H212" s="322"/>
      <c r="I212" s="322"/>
      <c r="J212" s="324"/>
      <c r="K212" s="323"/>
      <c r="L212" s="749"/>
      <c r="M212" s="815"/>
      <c r="N212" s="325"/>
      <c r="O212" s="325"/>
      <c r="P212" s="749"/>
      <c r="Q212" s="749"/>
      <c r="R212" s="750"/>
      <c r="S212" s="1094"/>
      <c r="T212" s="326"/>
      <c r="U212" s="325"/>
      <c r="V212" s="325"/>
      <c r="W212" s="749"/>
      <c r="X212" s="324"/>
      <c r="Y212" s="325"/>
      <c r="Z212" s="1094"/>
      <c r="AA212" s="699"/>
      <c r="AB212" s="324"/>
      <c r="AC212" s="107">
        <f t="shared" si="21"/>
        <v>1</v>
      </c>
      <c r="AD212" s="278">
        <v>0</v>
      </c>
      <c r="AE212" s="278">
        <v>0</v>
      </c>
      <c r="AF212" s="278">
        <v>0</v>
      </c>
      <c r="AI212" s="70"/>
      <c r="AJ212" s="671"/>
      <c r="AK212" s="70"/>
      <c r="AL212" s="70"/>
      <c r="AM212" s="70"/>
      <c r="AN212" s="70"/>
      <c r="AO212" s="70"/>
      <c r="AP212" s="70"/>
      <c r="AS212" s="23" t="str">
        <f t="shared" si="24"/>
        <v>N/A</v>
      </c>
      <c r="AT212" s="23" t="str">
        <f t="shared" si="25"/>
        <v>N/A</v>
      </c>
      <c r="AU212" s="23" t="str">
        <f t="shared" si="26"/>
        <v>N/A</v>
      </c>
      <c r="AV212" s="23"/>
      <c r="AW212" s="23"/>
      <c r="AX212" s="23"/>
      <c r="AZ212" s="324"/>
    </row>
    <row r="213" spans="1:52" ht="18.75" x14ac:dyDescent="0.25">
      <c r="A213" s="1076">
        <v>204</v>
      </c>
      <c r="B213" s="1077" t="s">
        <v>824</v>
      </c>
      <c r="C213" s="1084"/>
      <c r="D213" s="824"/>
      <c r="E213" s="327" t="s">
        <v>254</v>
      </c>
      <c r="F213" s="315"/>
      <c r="G213" s="316"/>
      <c r="H213" s="336"/>
      <c r="I213" s="315"/>
      <c r="J213" s="328"/>
      <c r="K213" s="329"/>
      <c r="L213" s="752"/>
      <c r="M213" s="816"/>
      <c r="N213" s="339"/>
      <c r="O213" s="332"/>
      <c r="P213" s="742"/>
      <c r="Q213" s="753"/>
      <c r="R213" s="754"/>
      <c r="S213" s="755"/>
      <c r="T213" s="319"/>
      <c r="U213" s="339"/>
      <c r="V213" s="338"/>
      <c r="W213" s="742"/>
      <c r="X213" s="328"/>
      <c r="Y213" s="338"/>
      <c r="Z213" s="752"/>
      <c r="AA213" s="133"/>
      <c r="AB213" s="337"/>
      <c r="AC213" s="107">
        <f t="shared" si="21"/>
        <v>1</v>
      </c>
      <c r="AD213" s="275">
        <v>0</v>
      </c>
      <c r="AE213" s="275">
        <v>0</v>
      </c>
      <c r="AF213" s="275">
        <v>0</v>
      </c>
      <c r="AI213" s="70"/>
      <c r="AJ213" s="671" t="s">
        <v>254</v>
      </c>
      <c r="AK213" s="70"/>
      <c r="AL213" s="70"/>
      <c r="AM213" s="70"/>
      <c r="AN213" s="70"/>
      <c r="AO213" s="70"/>
      <c r="AP213" s="70"/>
      <c r="AS213" s="23" t="str">
        <f t="shared" si="24"/>
        <v>N/A</v>
      </c>
      <c r="AT213" s="23" t="str">
        <f t="shared" si="25"/>
        <v>N/A</v>
      </c>
      <c r="AU213" s="23" t="str">
        <f t="shared" si="26"/>
        <v>N/A</v>
      </c>
      <c r="AV213" s="23"/>
      <c r="AW213" s="23"/>
      <c r="AX213" s="23"/>
      <c r="AZ213" s="337"/>
    </row>
    <row r="214" spans="1:52" x14ac:dyDescent="0.25">
      <c r="A214" s="1076">
        <v>205</v>
      </c>
      <c r="B214" s="1077" t="s">
        <v>824</v>
      </c>
      <c r="C214" s="1090" t="s">
        <v>824</v>
      </c>
      <c r="D214" s="824" t="s">
        <v>189</v>
      </c>
      <c r="E214" s="318" t="str">
        <f>VLOOKUP(D214,Poeng!$B$10:$R$252,Poeng!E$1,FALSE)</f>
        <v xml:space="preserve">Inn 01 - Man 03: Reduction of direct emissions from construction sites </v>
      </c>
      <c r="F214" s="122">
        <f>Inn01_credits</f>
        <v>1</v>
      </c>
      <c r="G214" s="43"/>
      <c r="H214" s="123">
        <f>Inn01_cont</f>
        <v>0</v>
      </c>
      <c r="I214" s="129" t="str">
        <f>Inn01_minstd</f>
        <v>N/A</v>
      </c>
      <c r="J214" s="80"/>
      <c r="K214" s="281"/>
      <c r="L214" s="738"/>
      <c r="M214" s="816"/>
      <c r="N214" s="83"/>
      <c r="O214" s="1092">
        <f>VLOOKUP(D214,Poeng!$B$10:$BC$252,Poeng!AF$1,FALSE)</f>
        <v>0</v>
      </c>
      <c r="P214" s="123" t="str">
        <f>VLOOKUP(D214,Poeng!$B$10:$BH$252,Poeng!BH$1,FALSE)</f>
        <v>N/A</v>
      </c>
      <c r="Q214" s="744"/>
      <c r="R214" s="745"/>
      <c r="S214" s="738"/>
      <c r="T214" s="319"/>
      <c r="U214" s="83"/>
      <c r="V214" s="123">
        <f>VLOOKUP(D214,Poeng!$B$10:$BC$252,Poeng!AG$1,FALSE)</f>
        <v>0</v>
      </c>
      <c r="W214" s="123" t="str">
        <f>VLOOKUP(D214,Poeng!$B$10:$BK$252,Poeng!BK$1,FALSE)</f>
        <v>N/A</v>
      </c>
      <c r="X214" s="81"/>
      <c r="Y214" s="80"/>
      <c r="Z214" s="738"/>
      <c r="AA214" s="133"/>
      <c r="AB214" s="640" t="s">
        <v>14</v>
      </c>
      <c r="AC214" s="107">
        <f t="shared" ref="AC214:AC228" si="30">IF(F214="",1,IF(F214=0,2,1))</f>
        <v>1</v>
      </c>
      <c r="AD214" s="3" t="e">
        <f>VLOOKUP(K214,'Assessment Details'!$O$45:$P$48,2,FALSE)</f>
        <v>#N/A</v>
      </c>
      <c r="AE214" s="3" t="e">
        <f>VLOOKUP(R214,'Assessment Details'!$O$45:$P$48,2,FALSE)</f>
        <v>#N/A</v>
      </c>
      <c r="AF214" s="3" t="e">
        <f>VLOOKUP(Y214,'Assessment Details'!$O$45:$P$48,2,FALSE)</f>
        <v>#N/A</v>
      </c>
      <c r="AI214" s="70"/>
      <c r="AJ214" s="671" t="s">
        <v>335</v>
      </c>
      <c r="AK214" s="70"/>
      <c r="AL214" s="70"/>
      <c r="AM214" s="70"/>
      <c r="AN214" s="70"/>
      <c r="AO214" s="70"/>
      <c r="AP214" s="70"/>
      <c r="AS214" s="23" t="str">
        <f t="shared" si="24"/>
        <v>N/A</v>
      </c>
      <c r="AT214" s="23" t="str">
        <f t="shared" si="25"/>
        <v>N/A</v>
      </c>
      <c r="AU214" s="23" t="str">
        <f t="shared" si="26"/>
        <v>N/A</v>
      </c>
      <c r="AV214" s="23"/>
      <c r="AW214" s="23"/>
      <c r="AX214" s="23"/>
      <c r="AZ214" s="640"/>
    </row>
    <row r="215" spans="1:52" x14ac:dyDescent="0.25">
      <c r="A215" s="1076">
        <v>206</v>
      </c>
      <c r="B215" s="1077" t="s">
        <v>824</v>
      </c>
      <c r="C215" s="1090" t="s">
        <v>824</v>
      </c>
      <c r="D215" s="824" t="s">
        <v>190</v>
      </c>
      <c r="E215" s="318" t="str">
        <f>VLOOKUP(D215,Poeng!$B$10:$R$252,Poeng!E$1,FALSE)</f>
        <v xml:space="preserve">Inn 02 - Hea 01: View out, high level </v>
      </c>
      <c r="F215" s="122">
        <f>Inn02_credits</f>
        <v>1</v>
      </c>
      <c r="G215" s="43"/>
      <c r="H215" s="123">
        <f>Inn02_cont</f>
        <v>0</v>
      </c>
      <c r="I215" s="129" t="str">
        <f>Inn02_minstd</f>
        <v>N/A</v>
      </c>
      <c r="J215" s="80"/>
      <c r="K215" s="281"/>
      <c r="L215" s="738"/>
      <c r="M215" s="816"/>
      <c r="N215" s="83"/>
      <c r="O215" s="123">
        <f>VLOOKUP(D215,Poeng!$B$10:$BC$252,Poeng!AF$1,FALSE)</f>
        <v>0</v>
      </c>
      <c r="P215" s="123" t="str">
        <f>VLOOKUP(D215,Poeng!$B$10:$BH$252,Poeng!BH$1,FALSE)</f>
        <v>N/A</v>
      </c>
      <c r="Q215" s="744"/>
      <c r="R215" s="745"/>
      <c r="S215" s="738"/>
      <c r="T215" s="319"/>
      <c r="U215" s="83"/>
      <c r="V215" s="123">
        <f>VLOOKUP(D215,Poeng!$B$10:$BC$252,Poeng!AG$1,FALSE)</f>
        <v>0</v>
      </c>
      <c r="W215" s="123" t="str">
        <f>VLOOKUP(D215,Poeng!$B$10:$BK$252,Poeng!BK$1,FALSE)</f>
        <v>N/A</v>
      </c>
      <c r="X215" s="81"/>
      <c r="Y215" s="80"/>
      <c r="Z215" s="738"/>
      <c r="AA215" s="133"/>
      <c r="AB215" s="640" t="s">
        <v>14</v>
      </c>
      <c r="AC215" s="107">
        <f t="shared" si="30"/>
        <v>1</v>
      </c>
      <c r="AD215" s="3" t="e">
        <f>VLOOKUP(K215,'Assessment Details'!$O$45:$P$48,2,FALSE)</f>
        <v>#N/A</v>
      </c>
      <c r="AE215" s="3" t="e">
        <f>VLOOKUP(R215,'Assessment Details'!$O$45:$P$48,2,FALSE)</f>
        <v>#N/A</v>
      </c>
      <c r="AF215" s="3" t="e">
        <f>VLOOKUP(Y215,'Assessment Details'!$O$45:$P$48,2,FALSE)</f>
        <v>#N/A</v>
      </c>
      <c r="AI215" s="70"/>
      <c r="AJ215" s="671" t="s">
        <v>336</v>
      </c>
      <c r="AK215" s="70"/>
      <c r="AL215" s="70"/>
      <c r="AM215" s="70"/>
      <c r="AN215" s="70"/>
      <c r="AO215" s="70"/>
      <c r="AP215" s="70"/>
      <c r="AS215" s="23" t="str">
        <f t="shared" si="24"/>
        <v>N/A</v>
      </c>
      <c r="AT215" s="23" t="str">
        <f t="shared" si="25"/>
        <v>N/A</v>
      </c>
      <c r="AU215" s="23" t="str">
        <f t="shared" si="26"/>
        <v>N/A</v>
      </c>
      <c r="AV215" s="23"/>
      <c r="AW215" s="23"/>
      <c r="AX215" s="23"/>
      <c r="AZ215" s="640"/>
    </row>
    <row r="216" spans="1:52" x14ac:dyDescent="0.25">
      <c r="A216" s="1076">
        <v>207</v>
      </c>
      <c r="B216" s="1077" t="s">
        <v>824</v>
      </c>
      <c r="C216" s="1090" t="s">
        <v>824</v>
      </c>
      <c r="D216" s="824" t="s">
        <v>191</v>
      </c>
      <c r="E216" s="318" t="str">
        <f>VLOOKUP(D216,Poeng!$B$10:$R$252,Poeng!E$1,FALSE)</f>
        <v>Inn 03 - Hea 02: Emissions from construction products</v>
      </c>
      <c r="F216" s="122">
        <f>Inn03_credits</f>
        <v>1</v>
      </c>
      <c r="G216" s="43"/>
      <c r="H216" s="123">
        <f>Inn03_cont</f>
        <v>0</v>
      </c>
      <c r="I216" s="129" t="str">
        <f>Inn03_minstd</f>
        <v>N/A</v>
      </c>
      <c r="J216" s="80"/>
      <c r="K216" s="281"/>
      <c r="L216" s="738"/>
      <c r="M216" s="816"/>
      <c r="N216" s="83"/>
      <c r="O216" s="123">
        <f>VLOOKUP(D216,Poeng!$B$10:$BC$252,Poeng!AF$1,FALSE)</f>
        <v>0</v>
      </c>
      <c r="P216" s="123" t="str">
        <f>VLOOKUP(D216,Poeng!$B$10:$BH$252,Poeng!BH$1,FALSE)</f>
        <v>N/A</v>
      </c>
      <c r="Q216" s="744"/>
      <c r="R216" s="745"/>
      <c r="S216" s="738"/>
      <c r="T216" s="319"/>
      <c r="U216" s="83"/>
      <c r="V216" s="123">
        <f>VLOOKUP(D216,Poeng!$B$10:$BC$252,Poeng!AG$1,FALSE)</f>
        <v>0</v>
      </c>
      <c r="W216" s="123" t="str">
        <f>VLOOKUP(D216,Poeng!$B$10:$BK$252,Poeng!BK$1,FALSE)</f>
        <v>N/A</v>
      </c>
      <c r="X216" s="81"/>
      <c r="Y216" s="80"/>
      <c r="Z216" s="738"/>
      <c r="AA216" s="133"/>
      <c r="AB216" s="640" t="s">
        <v>14</v>
      </c>
      <c r="AC216" s="107">
        <f t="shared" si="30"/>
        <v>1</v>
      </c>
      <c r="AD216" s="3" t="e">
        <f>VLOOKUP(K216,'Assessment Details'!$O$45:$P$48,2,FALSE)</f>
        <v>#N/A</v>
      </c>
      <c r="AE216" s="3" t="e">
        <f>VLOOKUP(R216,'Assessment Details'!$O$45:$P$48,2,FALSE)</f>
        <v>#N/A</v>
      </c>
      <c r="AF216" s="3" t="e">
        <f>VLOOKUP(Y216,'Assessment Details'!$O$45:$P$48,2,FALSE)</f>
        <v>#N/A</v>
      </c>
      <c r="AI216" s="70"/>
      <c r="AJ216" s="671" t="s">
        <v>337</v>
      </c>
      <c r="AK216" s="70"/>
      <c r="AL216" s="70"/>
      <c r="AM216" s="70"/>
      <c r="AN216" s="70"/>
      <c r="AO216" s="70"/>
      <c r="AP216" s="70"/>
      <c r="AS216" s="23" t="str">
        <f t="shared" si="24"/>
        <v>N/A</v>
      </c>
      <c r="AT216" s="23" t="str">
        <f t="shared" si="25"/>
        <v>N/A</v>
      </c>
      <c r="AU216" s="23" t="str">
        <f t="shared" si="26"/>
        <v>N/A</v>
      </c>
      <c r="AV216" s="23"/>
      <c r="AW216" s="23"/>
      <c r="AX216" s="23"/>
      <c r="AZ216" s="640"/>
    </row>
    <row r="217" spans="1:52" x14ac:dyDescent="0.25">
      <c r="A217" s="1076">
        <v>208</v>
      </c>
      <c r="B217" s="1077" t="s">
        <v>824</v>
      </c>
      <c r="C217" s="1090" t="s">
        <v>824</v>
      </c>
      <c r="D217" s="824" t="s">
        <v>192</v>
      </c>
      <c r="E217" s="318" t="str">
        <f>VLOOKUP(D217,Poeng!$B$10:$R$252,Poeng!E$1,FALSE)</f>
        <v xml:space="preserve">Inn 04 - Hea 06: Biofilik design </v>
      </c>
      <c r="F217" s="122">
        <f>Inn04_credits</f>
        <v>1</v>
      </c>
      <c r="G217" s="43"/>
      <c r="H217" s="123">
        <f>Inn04_cont</f>
        <v>0</v>
      </c>
      <c r="I217" s="129" t="str">
        <f>Inn04_minstd</f>
        <v>N/A</v>
      </c>
      <c r="J217" s="80"/>
      <c r="K217" s="281"/>
      <c r="L217" s="738"/>
      <c r="M217" s="816"/>
      <c r="N217" s="83"/>
      <c r="O217" s="123">
        <f>VLOOKUP(D217,Poeng!$B$10:$BC$252,Poeng!AF$1,FALSE)</f>
        <v>0</v>
      </c>
      <c r="P217" s="123" t="str">
        <f>VLOOKUP(D217,Poeng!$B$10:$BH$252,Poeng!BH$1,FALSE)</f>
        <v>N/A</v>
      </c>
      <c r="Q217" s="744"/>
      <c r="R217" s="745"/>
      <c r="S217" s="738"/>
      <c r="T217" s="319"/>
      <c r="U217" s="83"/>
      <c r="V217" s="123">
        <f>VLOOKUP(D217,Poeng!$B$10:$BC$252,Poeng!AG$1,FALSE)</f>
        <v>0</v>
      </c>
      <c r="W217" s="123" t="str">
        <f>VLOOKUP(D217,Poeng!$B$10:$BK$252,Poeng!BK$1,FALSE)</f>
        <v>N/A</v>
      </c>
      <c r="X217" s="81"/>
      <c r="Y217" s="80"/>
      <c r="Z217" s="738"/>
      <c r="AA217" s="133"/>
      <c r="AB217" s="640" t="s">
        <v>14</v>
      </c>
      <c r="AC217" s="107">
        <f t="shared" si="30"/>
        <v>1</v>
      </c>
      <c r="AD217" s="3" t="e">
        <f>VLOOKUP(K217,'Assessment Details'!$O$45:$P$48,2,FALSE)</f>
        <v>#N/A</v>
      </c>
      <c r="AE217" s="3" t="e">
        <f>VLOOKUP(R217,'Assessment Details'!$O$45:$P$48,2,FALSE)</f>
        <v>#N/A</v>
      </c>
      <c r="AF217" s="3" t="e">
        <f>VLOOKUP(Y217,'Assessment Details'!$O$45:$P$48,2,FALSE)</f>
        <v>#N/A</v>
      </c>
      <c r="AI217" s="70"/>
      <c r="AJ217" s="671" t="s">
        <v>338</v>
      </c>
      <c r="AK217" s="70"/>
      <c r="AL217" s="70"/>
      <c r="AM217" s="70"/>
      <c r="AN217" s="70"/>
      <c r="AO217" s="70"/>
      <c r="AP217" s="70"/>
      <c r="AS217" s="23" t="str">
        <f t="shared" si="24"/>
        <v>N/A</v>
      </c>
      <c r="AT217" s="23" t="str">
        <f t="shared" si="25"/>
        <v>N/A</v>
      </c>
      <c r="AU217" s="23" t="str">
        <f t="shared" si="26"/>
        <v>N/A</v>
      </c>
      <c r="AV217" s="23"/>
      <c r="AW217" s="23"/>
      <c r="AX217" s="23"/>
      <c r="AZ217" s="640"/>
    </row>
    <row r="218" spans="1:52" x14ac:dyDescent="0.25">
      <c r="A218" s="1076">
        <v>209</v>
      </c>
      <c r="B218" s="1077" t="s">
        <v>824</v>
      </c>
      <c r="C218" s="1090" t="s">
        <v>824</v>
      </c>
      <c r="D218" s="824" t="s">
        <v>193</v>
      </c>
      <c r="E218" s="318" t="str">
        <f>VLOOKUP(D218,Poeng!$B$10:$R$252,Poeng!E$1,FALSE)</f>
        <v xml:space="preserve">Inn 05 - Ene 01: Post-occupancy stage </v>
      </c>
      <c r="F218" s="122">
        <f>Inn05_credits</f>
        <v>2</v>
      </c>
      <c r="G218" s="43"/>
      <c r="H218" s="123">
        <f>Inn05_cont</f>
        <v>0</v>
      </c>
      <c r="I218" s="129" t="str">
        <f>Inn05_minstd</f>
        <v>N/A</v>
      </c>
      <c r="J218" s="80"/>
      <c r="K218" s="281"/>
      <c r="L218" s="738"/>
      <c r="M218" s="816"/>
      <c r="N218" s="83"/>
      <c r="O218" s="123">
        <f>VLOOKUP(D218,Poeng!$B$10:$BC$252,Poeng!AF$1,FALSE)</f>
        <v>0</v>
      </c>
      <c r="P218" s="123" t="str">
        <f>VLOOKUP(D218,Poeng!$B$10:$BH$252,Poeng!BH$1,FALSE)</f>
        <v>N/A</v>
      </c>
      <c r="Q218" s="744"/>
      <c r="R218" s="745"/>
      <c r="S218" s="738"/>
      <c r="T218" s="319"/>
      <c r="U218" s="83"/>
      <c r="V218" s="123">
        <f>VLOOKUP(D218,Poeng!$B$10:$BC$252,Poeng!AG$1,FALSE)</f>
        <v>0</v>
      </c>
      <c r="W218" s="123" t="str">
        <f>VLOOKUP(D218,Poeng!$B$10:$BK$252,Poeng!BK$1,FALSE)</f>
        <v>N/A</v>
      </c>
      <c r="X218" s="81"/>
      <c r="Y218" s="80"/>
      <c r="Z218" s="738"/>
      <c r="AA218" s="133"/>
      <c r="AB218" s="640" t="s">
        <v>14</v>
      </c>
      <c r="AC218" s="107">
        <f t="shared" si="30"/>
        <v>1</v>
      </c>
      <c r="AD218" s="3" t="e">
        <f>VLOOKUP(K218,'Assessment Details'!$O$45:$P$48,2,FALSE)</f>
        <v>#N/A</v>
      </c>
      <c r="AE218" s="3" t="e">
        <f>VLOOKUP(R218,'Assessment Details'!$O$45:$P$48,2,FALSE)</f>
        <v>#N/A</v>
      </c>
      <c r="AF218" s="3" t="e">
        <f>VLOOKUP(Y218,'Assessment Details'!$O$45:$P$48,2,FALSE)</f>
        <v>#N/A</v>
      </c>
      <c r="AI218" s="70"/>
      <c r="AJ218" s="671" t="s">
        <v>248</v>
      </c>
      <c r="AK218" s="70"/>
      <c r="AL218" s="70"/>
      <c r="AM218" s="70"/>
      <c r="AN218" s="70"/>
      <c r="AO218" s="70"/>
      <c r="AP218" s="70"/>
      <c r="AS218" s="23" t="str">
        <f t="shared" si="24"/>
        <v>N/A</v>
      </c>
      <c r="AT218" s="23" t="str">
        <f t="shared" si="25"/>
        <v>N/A</v>
      </c>
      <c r="AU218" s="23" t="str">
        <f t="shared" si="26"/>
        <v>N/A</v>
      </c>
      <c r="AV218" s="23"/>
      <c r="AW218" s="23"/>
      <c r="AX218" s="23"/>
      <c r="AZ218" s="640"/>
    </row>
    <row r="219" spans="1:52" x14ac:dyDescent="0.25">
      <c r="A219" s="1076">
        <v>210</v>
      </c>
      <c r="B219" s="1077" t="s">
        <v>824</v>
      </c>
      <c r="C219" s="1090" t="s">
        <v>824</v>
      </c>
      <c r="D219" s="824" t="s">
        <v>194</v>
      </c>
      <c r="E219" s="318" t="str">
        <f>VLOOKUP(D219,Poeng!$B$10:$R$252,Poeng!E$1,FALSE)</f>
        <v xml:space="preserve">Inn 06 - Ene 01: Plus house </v>
      </c>
      <c r="F219" s="122">
        <f>Inn06_credits</f>
        <v>1</v>
      </c>
      <c r="G219" s="43"/>
      <c r="H219" s="123">
        <f>Inn06_cont</f>
        <v>0</v>
      </c>
      <c r="I219" s="129" t="str">
        <f>Inn06_minstd</f>
        <v>N/A</v>
      </c>
      <c r="J219" s="80"/>
      <c r="K219" s="281"/>
      <c r="L219" s="738"/>
      <c r="M219" s="816"/>
      <c r="N219" s="83"/>
      <c r="O219" s="123">
        <f>VLOOKUP(D219,Poeng!$B$10:$BC$252,Poeng!AF$1,FALSE)</f>
        <v>0</v>
      </c>
      <c r="P219" s="123" t="str">
        <f>VLOOKUP(D219,Poeng!$B$10:$BH$252,Poeng!BH$1,FALSE)</f>
        <v>N/A</v>
      </c>
      <c r="Q219" s="744"/>
      <c r="R219" s="745"/>
      <c r="S219" s="738"/>
      <c r="T219" s="319"/>
      <c r="U219" s="83"/>
      <c r="V219" s="123">
        <f>VLOOKUP(D219,Poeng!$B$10:$BC$252,Poeng!AG$1,FALSE)</f>
        <v>0</v>
      </c>
      <c r="W219" s="123" t="str">
        <f>VLOOKUP(D219,Poeng!$B$10:$BK$252,Poeng!BK$1,FALSE)</f>
        <v>N/A</v>
      </c>
      <c r="X219" s="81"/>
      <c r="Y219" s="80"/>
      <c r="Z219" s="738"/>
      <c r="AA219" s="133"/>
      <c r="AB219" s="640" t="s">
        <v>14</v>
      </c>
      <c r="AC219" s="107">
        <f t="shared" si="30"/>
        <v>1</v>
      </c>
      <c r="AD219" s="3" t="e">
        <f>VLOOKUP(K219,'Assessment Details'!$O$45:$P$48,2,FALSE)</f>
        <v>#N/A</v>
      </c>
      <c r="AE219" s="3" t="e">
        <f>VLOOKUP(R219,'Assessment Details'!$O$45:$P$48,2,FALSE)</f>
        <v>#N/A</v>
      </c>
      <c r="AF219" s="3" t="e">
        <f>VLOOKUP(Y219,'Assessment Details'!$O$45:$P$48,2,FALSE)</f>
        <v>#N/A</v>
      </c>
      <c r="AI219" s="70"/>
      <c r="AJ219" s="671" t="s">
        <v>249</v>
      </c>
      <c r="AK219" s="70"/>
      <c r="AL219" s="70"/>
      <c r="AM219" s="70"/>
      <c r="AN219" s="70"/>
      <c r="AO219" s="70"/>
      <c r="AP219" s="70"/>
      <c r="AS219" s="23" t="str">
        <f t="shared" si="24"/>
        <v>N/A</v>
      </c>
      <c r="AT219" s="23" t="str">
        <f t="shared" si="25"/>
        <v>N/A</v>
      </c>
      <c r="AU219" s="23" t="str">
        <f t="shared" si="26"/>
        <v>N/A</v>
      </c>
      <c r="AV219" s="23"/>
      <c r="AW219" s="23"/>
      <c r="AX219" s="23"/>
      <c r="AZ219" s="640"/>
    </row>
    <row r="220" spans="1:52" x14ac:dyDescent="0.25">
      <c r="A220" s="1076">
        <v>211</v>
      </c>
      <c r="B220" s="1077" t="s">
        <v>824</v>
      </c>
      <c r="C220" s="1090" t="s">
        <v>824</v>
      </c>
      <c r="D220" s="824" t="s">
        <v>195</v>
      </c>
      <c r="E220" s="318" t="str">
        <f>VLOOKUP(D220,Poeng!$B$10:$R$252,Poeng!E$1,FALSE)</f>
        <v>Inn 07 - Wat 01: Highly water efficient components</v>
      </c>
      <c r="F220" s="122">
        <f>Inn07_credits</f>
        <v>1</v>
      </c>
      <c r="G220" s="43"/>
      <c r="H220" s="123">
        <f>Inn07_cont</f>
        <v>0</v>
      </c>
      <c r="I220" s="129" t="str">
        <f>Inn07_minstd</f>
        <v>N/A</v>
      </c>
      <c r="J220" s="80"/>
      <c r="K220" s="281"/>
      <c r="L220" s="738"/>
      <c r="M220" s="816"/>
      <c r="N220" s="83"/>
      <c r="O220" s="123">
        <f>VLOOKUP(D220,Poeng!$B$10:$BC$252,Poeng!AF$1,FALSE)</f>
        <v>0</v>
      </c>
      <c r="P220" s="123" t="str">
        <f>VLOOKUP(D220,Poeng!$B$10:$BH$252,Poeng!BH$1,FALSE)</f>
        <v>N/A</v>
      </c>
      <c r="Q220" s="744"/>
      <c r="R220" s="745"/>
      <c r="S220" s="738"/>
      <c r="T220" s="319"/>
      <c r="U220" s="83"/>
      <c r="V220" s="123">
        <f>VLOOKUP(D220,Poeng!$B$10:$BC$252,Poeng!AG$1,FALSE)</f>
        <v>0</v>
      </c>
      <c r="W220" s="123" t="str">
        <f>VLOOKUP(D220,Poeng!$B$10:$BK$252,Poeng!BK$1,FALSE)</f>
        <v>N/A</v>
      </c>
      <c r="X220" s="81"/>
      <c r="Y220" s="80"/>
      <c r="Z220" s="738"/>
      <c r="AA220" s="133"/>
      <c r="AB220" s="640" t="s">
        <v>14</v>
      </c>
      <c r="AC220" s="107">
        <f t="shared" si="30"/>
        <v>1</v>
      </c>
      <c r="AD220" s="3" t="e">
        <f>VLOOKUP(K220,'Assessment Details'!$O$45:$P$48,2,FALSE)</f>
        <v>#N/A</v>
      </c>
      <c r="AE220" s="3" t="e">
        <f>VLOOKUP(R220,'Assessment Details'!$O$45:$P$48,2,FALSE)</f>
        <v>#N/A</v>
      </c>
      <c r="AF220" s="3" t="e">
        <f>VLOOKUP(Y220,'Assessment Details'!$O$45:$P$48,2,FALSE)</f>
        <v>#N/A</v>
      </c>
      <c r="AI220" s="70"/>
      <c r="AJ220" s="671" t="s">
        <v>339</v>
      </c>
      <c r="AK220" s="70"/>
      <c r="AL220" s="70"/>
      <c r="AM220" s="70"/>
      <c r="AN220" s="70"/>
      <c r="AO220" s="70"/>
      <c r="AP220" s="70"/>
      <c r="AS220" s="23" t="str">
        <f t="shared" si="24"/>
        <v>N/A</v>
      </c>
      <c r="AT220" s="23" t="str">
        <f t="shared" si="25"/>
        <v>N/A</v>
      </c>
      <c r="AU220" s="23" t="str">
        <f t="shared" si="26"/>
        <v>N/A</v>
      </c>
      <c r="AV220" s="23"/>
      <c r="AW220" s="23"/>
      <c r="AX220" s="23"/>
      <c r="AZ220" s="640"/>
    </row>
    <row r="221" spans="1:52" x14ac:dyDescent="0.25">
      <c r="A221" s="1076">
        <v>212</v>
      </c>
      <c r="B221" s="1077" t="s">
        <v>824</v>
      </c>
      <c r="C221" s="1090" t="s">
        <v>824</v>
      </c>
      <c r="D221" s="824" t="s">
        <v>223</v>
      </c>
      <c r="E221" s="318" t="str">
        <f>VLOOKUP(D221,Poeng!$B$10:$R$252,Poeng!E$1,FALSE)</f>
        <v xml:space="preserve">Inn 08 - Mat 01: 60% reduction of greenhouse gas emission </v>
      </c>
      <c r="F221" s="122">
        <f>Inn08_credits</f>
        <v>1</v>
      </c>
      <c r="G221" s="43"/>
      <c r="H221" s="123">
        <f>Inn08_cont</f>
        <v>0</v>
      </c>
      <c r="I221" s="129" t="str">
        <f>Inn08_minstd</f>
        <v>N/A</v>
      </c>
      <c r="J221" s="80"/>
      <c r="K221" s="281"/>
      <c r="L221" s="738"/>
      <c r="M221" s="816"/>
      <c r="N221" s="83"/>
      <c r="O221" s="123">
        <f>VLOOKUP(D221,Poeng!$B$10:$BC$252,Poeng!AF$1,FALSE)</f>
        <v>0</v>
      </c>
      <c r="P221" s="123" t="str">
        <f>VLOOKUP(D221,Poeng!$B$10:$BH$252,Poeng!BH$1,FALSE)</f>
        <v>N/A</v>
      </c>
      <c r="Q221" s="744"/>
      <c r="R221" s="745"/>
      <c r="S221" s="738"/>
      <c r="T221" s="319"/>
      <c r="U221" s="83"/>
      <c r="V221" s="123">
        <f>VLOOKUP(D221,Poeng!$B$10:$BC$252,Poeng!AG$1,FALSE)</f>
        <v>0</v>
      </c>
      <c r="W221" s="123" t="str">
        <f>VLOOKUP(D221,Poeng!$B$10:$BK$252,Poeng!BK$1,FALSE)</f>
        <v>N/A</v>
      </c>
      <c r="X221" s="81"/>
      <c r="Y221" s="80"/>
      <c r="Z221" s="738"/>
      <c r="AA221" s="133"/>
      <c r="AB221" s="640" t="s">
        <v>14</v>
      </c>
      <c r="AC221" s="107">
        <f t="shared" si="30"/>
        <v>1</v>
      </c>
      <c r="AD221" s="3" t="e">
        <f>VLOOKUP(K221,'Assessment Details'!$O$45:$P$48,2,FALSE)</f>
        <v>#N/A</v>
      </c>
      <c r="AE221" s="3" t="e">
        <f>VLOOKUP(R221,'Assessment Details'!$O$45:$P$48,2,FALSE)</f>
        <v>#N/A</v>
      </c>
      <c r="AF221" s="3" t="e">
        <f>VLOOKUP(Y221,'Assessment Details'!$O$45:$P$48,2,FALSE)</f>
        <v>#N/A</v>
      </c>
      <c r="AI221" s="70"/>
      <c r="AJ221" s="671" t="s">
        <v>401</v>
      </c>
      <c r="AK221" s="70"/>
      <c r="AL221" s="70"/>
      <c r="AM221" s="70"/>
      <c r="AN221" s="70"/>
      <c r="AO221" s="70"/>
      <c r="AP221" s="70"/>
      <c r="AS221" s="23" t="str">
        <f t="shared" si="24"/>
        <v>N/A</v>
      </c>
      <c r="AT221" s="23" t="str">
        <f t="shared" si="25"/>
        <v>N/A</v>
      </c>
      <c r="AU221" s="23" t="str">
        <f t="shared" si="26"/>
        <v>N/A</v>
      </c>
      <c r="AV221" s="23"/>
      <c r="AW221" s="23"/>
      <c r="AX221" s="23"/>
      <c r="AZ221" s="640"/>
    </row>
    <row r="222" spans="1:52" ht="34.5" customHeight="1" x14ac:dyDescent="0.25">
      <c r="A222" s="1076">
        <v>213</v>
      </c>
      <c r="B222" s="1077" t="s">
        <v>824</v>
      </c>
      <c r="C222" s="1091" t="s">
        <v>824</v>
      </c>
      <c r="D222" s="824" t="s">
        <v>253</v>
      </c>
      <c r="E222" s="340" t="str">
        <f>VLOOKUP(D222,Poeng!$B$10:$R$252,Poeng!E$1,FALSE)</f>
        <v>Inn 09 - Mat 06: FutureBuilt criteria set for circular buildings, point 2.3 reuse of building components</v>
      </c>
      <c r="F222" s="122">
        <f>Inn09_credits</f>
        <v>1</v>
      </c>
      <c r="G222" s="43"/>
      <c r="H222" s="123">
        <f>Inn09_cont</f>
        <v>0</v>
      </c>
      <c r="I222" s="129" t="str">
        <f>Inn09_minstd</f>
        <v>N/A</v>
      </c>
      <c r="J222" s="80"/>
      <c r="K222" s="281"/>
      <c r="L222" s="738"/>
      <c r="M222" s="816"/>
      <c r="N222" s="83"/>
      <c r="O222" s="123">
        <f>VLOOKUP(D222,Poeng!$B$10:$BC$252,Poeng!AF$1,FALSE)</f>
        <v>0</v>
      </c>
      <c r="P222" s="123" t="str">
        <f>VLOOKUP(D222,Poeng!$B$10:$BH$252,Poeng!BH$1,FALSE)</f>
        <v>N/A</v>
      </c>
      <c r="Q222" s="744"/>
      <c r="R222" s="745"/>
      <c r="S222" s="738"/>
      <c r="T222" s="319"/>
      <c r="U222" s="83"/>
      <c r="V222" s="123">
        <f>VLOOKUP(D222,Poeng!$B$10:$BC$252,Poeng!AG$1,FALSE)</f>
        <v>0</v>
      </c>
      <c r="W222" s="123" t="str">
        <f>VLOOKUP(D222,Poeng!$B$10:$BK$252,Poeng!BK$1,FALSE)</f>
        <v>N/A</v>
      </c>
      <c r="X222" s="81"/>
      <c r="Y222" s="80"/>
      <c r="Z222" s="738"/>
      <c r="AA222" s="133"/>
      <c r="AB222" s="640" t="s">
        <v>14</v>
      </c>
      <c r="AC222" s="107">
        <f t="shared" si="30"/>
        <v>1</v>
      </c>
      <c r="AD222" s="3" t="e">
        <f>VLOOKUP(K222,'Assessment Details'!$O$45:$P$48,2,FALSE)</f>
        <v>#N/A</v>
      </c>
      <c r="AE222" s="3" t="e">
        <f>VLOOKUP(R222,'Assessment Details'!$O$45:$P$48,2,FALSE)</f>
        <v>#N/A</v>
      </c>
      <c r="AF222" s="3" t="e">
        <f>VLOOKUP(Y222,'Assessment Details'!$O$45:$P$48,2,FALSE)</f>
        <v>#N/A</v>
      </c>
      <c r="AI222" s="70"/>
      <c r="AJ222" s="671" t="s">
        <v>340</v>
      </c>
      <c r="AK222" s="70"/>
      <c r="AL222" s="70"/>
      <c r="AM222" s="70"/>
      <c r="AN222" s="70"/>
      <c r="AO222" s="70"/>
      <c r="AP222" s="70"/>
      <c r="AS222" s="23" t="str">
        <f t="shared" si="24"/>
        <v>N/A</v>
      </c>
      <c r="AT222" s="23" t="str">
        <f t="shared" si="25"/>
        <v>N/A</v>
      </c>
      <c r="AU222" s="23" t="str">
        <f t="shared" si="26"/>
        <v>N/A</v>
      </c>
      <c r="AV222" s="23"/>
      <c r="AW222" s="23"/>
      <c r="AX222" s="23"/>
      <c r="AZ222" s="640"/>
    </row>
    <row r="223" spans="1:52" x14ac:dyDescent="0.25">
      <c r="A223" s="1076">
        <v>214</v>
      </c>
      <c r="B223" s="1077" t="s">
        <v>824</v>
      </c>
      <c r="C223" s="1090" t="s">
        <v>824</v>
      </c>
      <c r="D223" s="824" t="s">
        <v>473</v>
      </c>
      <c r="E223" s="318" t="str">
        <f>VLOOKUP(D223,Poeng!$B$10:$R$252,Poeng!E$1,FALSE)</f>
        <v xml:space="preserve">Inn 10 - Wst 01: Especially low amount of construction waste </v>
      </c>
      <c r="F223" s="713">
        <f>Inn10_credits</f>
        <v>1</v>
      </c>
      <c r="G223" s="43"/>
      <c r="H223" s="123">
        <f>Inn10_cont</f>
        <v>0</v>
      </c>
      <c r="I223" s="129" t="str">
        <f>Inn10_minstd</f>
        <v>N/A</v>
      </c>
      <c r="J223" s="80"/>
      <c r="K223" s="281"/>
      <c r="L223" s="738"/>
      <c r="M223" s="816"/>
      <c r="N223" s="83"/>
      <c r="O223" s="123">
        <f>VLOOKUP(D223,Poeng!$B$10:$BC$252,Poeng!AF$1,FALSE)</f>
        <v>0</v>
      </c>
      <c r="P223" s="123" t="str">
        <f>VLOOKUP(D223,Poeng!$B$10:$BH$252,Poeng!BH$1,FALSE)</f>
        <v>N/A</v>
      </c>
      <c r="Q223" s="744"/>
      <c r="R223" s="745"/>
      <c r="S223" s="738"/>
      <c r="T223" s="319"/>
      <c r="U223" s="83"/>
      <c r="V223" s="123">
        <f>VLOOKUP(D223,Poeng!$B$10:$BC$252,Poeng!AG$1,FALSE)</f>
        <v>0</v>
      </c>
      <c r="W223" s="123" t="str">
        <f>VLOOKUP(D223,Poeng!$B$10:$BK$252,Poeng!BK$1,FALSE)</f>
        <v>N/A</v>
      </c>
      <c r="X223" s="81"/>
      <c r="Y223" s="80"/>
      <c r="Z223" s="738"/>
      <c r="AA223" s="133"/>
      <c r="AB223" s="714"/>
      <c r="AC223" s="107">
        <f t="shared" si="30"/>
        <v>1</v>
      </c>
      <c r="AD223" s="3" t="e">
        <f>VLOOKUP(K223,'Assessment Details'!$O$45:$P$48,2,FALSE)</f>
        <v>#N/A</v>
      </c>
      <c r="AE223" s="3" t="e">
        <f>VLOOKUP(R223,'Assessment Details'!$O$45:$P$48,2,FALSE)</f>
        <v>#N/A</v>
      </c>
      <c r="AF223" s="3" t="e">
        <f>VLOOKUP(Y223,'Assessment Details'!$O$45:$P$48,2,FALSE)</f>
        <v>#N/A</v>
      </c>
      <c r="AI223" s="70"/>
      <c r="AJ223" s="671"/>
      <c r="AK223" s="70"/>
      <c r="AL223" s="70"/>
      <c r="AM223" s="70"/>
      <c r="AN223" s="70"/>
      <c r="AO223" s="70"/>
      <c r="AP223" s="70"/>
      <c r="AS223" s="23"/>
      <c r="AT223" s="23"/>
      <c r="AU223" s="23"/>
      <c r="AV223" s="23"/>
      <c r="AW223" s="23"/>
      <c r="AX223" s="23"/>
      <c r="AZ223" s="714"/>
    </row>
    <row r="224" spans="1:52" x14ac:dyDescent="0.25">
      <c r="A224" s="1076">
        <v>215</v>
      </c>
      <c r="B224" s="1077" t="s">
        <v>824</v>
      </c>
      <c r="C224" s="1090" t="s">
        <v>824</v>
      </c>
      <c r="D224" s="824" t="s">
        <v>474</v>
      </c>
      <c r="E224" s="318" t="str">
        <f>VLOOKUP(D224,Poeng!$B$10:$R$252,Poeng!E$1,FALSE)</f>
        <v>Inn 11 - LE 02: Wider sustainability for the site</v>
      </c>
      <c r="F224" s="713">
        <f>Inn11_credits</f>
        <v>1</v>
      </c>
      <c r="G224" s="43"/>
      <c r="H224" s="123">
        <f>Inn11_cont</f>
        <v>0</v>
      </c>
      <c r="I224" s="129" t="str">
        <f>Inn11_minstd</f>
        <v>N/A</v>
      </c>
      <c r="J224" s="80"/>
      <c r="K224" s="281"/>
      <c r="L224" s="738"/>
      <c r="M224" s="816"/>
      <c r="N224" s="83"/>
      <c r="O224" s="123">
        <f>VLOOKUP(D224,Poeng!$B$10:$BC$252,Poeng!AF$1,FALSE)</f>
        <v>0</v>
      </c>
      <c r="P224" s="123" t="str">
        <f>VLOOKUP(D224,Poeng!$B$10:$BH$252,Poeng!BH$1,FALSE)</f>
        <v>N/A</v>
      </c>
      <c r="Q224" s="744"/>
      <c r="R224" s="745"/>
      <c r="S224" s="738"/>
      <c r="T224" s="319"/>
      <c r="U224" s="83"/>
      <c r="V224" s="123">
        <f>VLOOKUP(D224,Poeng!$B$10:$BC$252,Poeng!AG$1,FALSE)</f>
        <v>0</v>
      </c>
      <c r="W224" s="123" t="str">
        <f>VLOOKUP(D224,Poeng!$B$10:$BK$252,Poeng!BK$1,FALSE)</f>
        <v>N/A</v>
      </c>
      <c r="X224" s="81"/>
      <c r="Y224" s="80"/>
      <c r="Z224" s="738"/>
      <c r="AA224" s="133"/>
      <c r="AB224" s="714"/>
      <c r="AC224" s="107">
        <f t="shared" si="30"/>
        <v>1</v>
      </c>
      <c r="AD224" s="3" t="e">
        <f>VLOOKUP(K224,'Assessment Details'!$O$45:$P$48,2,FALSE)</f>
        <v>#N/A</v>
      </c>
      <c r="AE224" s="3" t="e">
        <f>VLOOKUP(R224,'Assessment Details'!$O$45:$P$48,2,FALSE)</f>
        <v>#N/A</v>
      </c>
      <c r="AF224" s="3" t="e">
        <f>VLOOKUP(Y224,'Assessment Details'!$O$45:$P$48,2,FALSE)</f>
        <v>#N/A</v>
      </c>
      <c r="AI224" s="70"/>
      <c r="AJ224" s="671"/>
      <c r="AK224" s="70"/>
      <c r="AL224" s="70"/>
      <c r="AM224" s="70"/>
      <c r="AN224" s="70"/>
      <c r="AO224" s="70"/>
      <c r="AP224" s="70"/>
      <c r="AS224" s="23"/>
      <c r="AT224" s="23"/>
      <c r="AU224" s="23"/>
      <c r="AV224" s="23"/>
      <c r="AW224" s="23"/>
      <c r="AX224" s="23"/>
      <c r="AZ224" s="714"/>
    </row>
    <row r="225" spans="1:52" x14ac:dyDescent="0.25">
      <c r="A225" s="1076">
        <v>216</v>
      </c>
      <c r="B225" s="1077" t="s">
        <v>824</v>
      </c>
      <c r="C225" s="1090" t="s">
        <v>824</v>
      </c>
      <c r="D225" s="824" t="s">
        <v>475</v>
      </c>
      <c r="E225" s="318" t="str">
        <f>VLOOKUP(D225,Poeng!$B$10:$R$252,Poeng!E$1,FALSE)</f>
        <v>Inn 12 - LE 04: Significant net gain of biodiversity</v>
      </c>
      <c r="F225" s="713">
        <f>Inn12_credits</f>
        <v>1</v>
      </c>
      <c r="G225" s="43"/>
      <c r="H225" s="123">
        <f>Inn12_cont</f>
        <v>0</v>
      </c>
      <c r="I225" s="129" t="str">
        <f>Inn12_minstd</f>
        <v>N/A</v>
      </c>
      <c r="J225" s="80"/>
      <c r="K225" s="281"/>
      <c r="L225" s="738"/>
      <c r="M225" s="816"/>
      <c r="N225" s="83"/>
      <c r="O225" s="123">
        <f>VLOOKUP(D225,Poeng!$B$10:$BC$252,Poeng!AF$1,FALSE)</f>
        <v>0</v>
      </c>
      <c r="P225" s="123" t="str">
        <f>VLOOKUP(D225,Poeng!$B$10:$BH$252,Poeng!BH$1,FALSE)</f>
        <v>N/A</v>
      </c>
      <c r="Q225" s="744"/>
      <c r="R225" s="745"/>
      <c r="S225" s="738"/>
      <c r="T225" s="319"/>
      <c r="U225" s="83"/>
      <c r="V225" s="123">
        <f>VLOOKUP(D225,Poeng!$B$10:$BC$252,Poeng!AG$1,FALSE)</f>
        <v>0</v>
      </c>
      <c r="W225" s="123" t="str">
        <f>VLOOKUP(D225,Poeng!$B$10:$BK$252,Poeng!BK$1,FALSE)</f>
        <v>N/A</v>
      </c>
      <c r="X225" s="81"/>
      <c r="Y225" s="80"/>
      <c r="Z225" s="738"/>
      <c r="AA225" s="133"/>
      <c r="AB225" s="714"/>
      <c r="AC225" s="107">
        <f t="shared" si="30"/>
        <v>1</v>
      </c>
      <c r="AD225" s="3" t="e">
        <f>VLOOKUP(K225,'Assessment Details'!$O$45:$P$48,2,FALSE)</f>
        <v>#N/A</v>
      </c>
      <c r="AE225" s="3" t="e">
        <f>VLOOKUP(R225,'Assessment Details'!$O$45:$P$48,2,FALSE)</f>
        <v>#N/A</v>
      </c>
      <c r="AF225" s="3" t="e">
        <f>VLOOKUP(Y225,'Assessment Details'!$O$45:$P$48,2,FALSE)</f>
        <v>#N/A</v>
      </c>
      <c r="AI225" s="70"/>
      <c r="AJ225" s="671"/>
      <c r="AK225" s="70"/>
      <c r="AL225" s="70"/>
      <c r="AM225" s="70"/>
      <c r="AN225" s="70"/>
      <c r="AO225" s="70"/>
      <c r="AP225" s="70"/>
      <c r="AS225" s="23"/>
      <c r="AT225" s="23"/>
      <c r="AU225" s="23"/>
      <c r="AV225" s="23"/>
      <c r="AW225" s="23"/>
      <c r="AX225" s="23"/>
      <c r="AZ225" s="714"/>
    </row>
    <row r="226" spans="1:52" x14ac:dyDescent="0.25">
      <c r="A226" s="1076">
        <v>217</v>
      </c>
      <c r="B226" s="1077" t="s">
        <v>824</v>
      </c>
      <c r="C226" s="1090" t="s">
        <v>824</v>
      </c>
      <c r="D226" s="824" t="s">
        <v>476</v>
      </c>
      <c r="E226" s="318" t="str">
        <f>VLOOKUP(D226,Poeng!$B$10:$R$252,Poeng!E$1,FALSE)</f>
        <v>Inn 13 - LE 06: Responding to climate change</v>
      </c>
      <c r="F226" s="713">
        <f>Inn13_credits</f>
        <v>1</v>
      </c>
      <c r="G226" s="43"/>
      <c r="H226" s="123">
        <f>Inn13_cont</f>
        <v>0</v>
      </c>
      <c r="I226" s="129" t="str">
        <f>Inn13_minstd</f>
        <v>N/A</v>
      </c>
      <c r="J226" s="80"/>
      <c r="K226" s="281"/>
      <c r="L226" s="738"/>
      <c r="M226" s="816"/>
      <c r="N226" s="83"/>
      <c r="O226" s="123">
        <f>VLOOKUP(D226,Poeng!$B$10:$BC$252,Poeng!AF$1,FALSE)</f>
        <v>0</v>
      </c>
      <c r="P226" s="123" t="str">
        <f>VLOOKUP(D226,Poeng!$B$10:$BH$252,Poeng!BH$1,FALSE)</f>
        <v>N/A</v>
      </c>
      <c r="Q226" s="744"/>
      <c r="R226" s="745"/>
      <c r="S226" s="738"/>
      <c r="T226" s="319"/>
      <c r="U226" s="83"/>
      <c r="V226" s="123">
        <f>VLOOKUP(D226,Poeng!$B$10:$BC$252,Poeng!AG$1,FALSE)</f>
        <v>0</v>
      </c>
      <c r="W226" s="123" t="str">
        <f>VLOOKUP(D226,Poeng!$B$10:$BK$252,Poeng!BK$1,FALSE)</f>
        <v>N/A</v>
      </c>
      <c r="X226" s="81"/>
      <c r="Y226" s="80"/>
      <c r="Z226" s="738"/>
      <c r="AA226" s="133"/>
      <c r="AB226" s="714"/>
      <c r="AC226" s="107">
        <f t="shared" si="30"/>
        <v>1</v>
      </c>
      <c r="AD226" s="3" t="e">
        <f>VLOOKUP(K226,'Assessment Details'!$O$45:$P$48,2,FALSE)</f>
        <v>#N/A</v>
      </c>
      <c r="AE226" s="3" t="e">
        <f>VLOOKUP(R226,'Assessment Details'!$O$45:$P$48,2,FALSE)</f>
        <v>#N/A</v>
      </c>
      <c r="AF226" s="3" t="e">
        <f>VLOOKUP(Y226,'Assessment Details'!$O$45:$P$48,2,FALSE)</f>
        <v>#N/A</v>
      </c>
      <c r="AI226" s="70"/>
      <c r="AJ226" s="671"/>
      <c r="AK226" s="70"/>
      <c r="AL226" s="70"/>
      <c r="AM226" s="70"/>
      <c r="AN226" s="70"/>
      <c r="AO226" s="70"/>
      <c r="AP226" s="70"/>
      <c r="AS226" s="23"/>
      <c r="AT226" s="23"/>
      <c r="AU226" s="23"/>
      <c r="AV226" s="23"/>
      <c r="AW226" s="23"/>
      <c r="AX226" s="23"/>
      <c r="AZ226" s="714"/>
    </row>
    <row r="227" spans="1:52" x14ac:dyDescent="0.25">
      <c r="A227" s="1076">
        <v>218</v>
      </c>
      <c r="B227" s="1077" t="s">
        <v>824</v>
      </c>
      <c r="C227" s="1080" t="s">
        <v>824</v>
      </c>
      <c r="D227" s="824" t="s">
        <v>697</v>
      </c>
      <c r="E227" s="318" t="str">
        <f>VLOOKUP(D227,Poeng!$B$10:$R$252,Poeng!E$1,FALSE)</f>
        <v>Inn 14 - LE 08: Wider approach to surface water management</v>
      </c>
      <c r="F227" s="713">
        <f>Poeng!AB230</f>
        <v>1</v>
      </c>
      <c r="G227" s="43"/>
      <c r="H227" s="862">
        <f>Poeng!AE230</f>
        <v>0</v>
      </c>
      <c r="I227" s="863" t="str">
        <f>Poeng!BE230</f>
        <v>N/A</v>
      </c>
      <c r="J227" s="80"/>
      <c r="K227" s="281"/>
      <c r="L227" s="738"/>
      <c r="M227" s="816"/>
      <c r="N227" s="83"/>
      <c r="O227" s="123">
        <f>VLOOKUP(D227,Poeng!$B$10:$BC$252,Poeng!AF$1,FALSE)</f>
        <v>0</v>
      </c>
      <c r="P227" s="123" t="str">
        <f>VLOOKUP(D227,Poeng!$B$10:$BH$252,Poeng!BH$1,FALSE)</f>
        <v>N/A</v>
      </c>
      <c r="Q227" s="744"/>
      <c r="R227" s="745"/>
      <c r="S227" s="738"/>
      <c r="T227" s="319"/>
      <c r="U227" s="83"/>
      <c r="V227" s="123">
        <f>VLOOKUP(D227,Poeng!$B$10:$BC$252,Poeng!AG$1,FALSE)</f>
        <v>0</v>
      </c>
      <c r="W227" s="123" t="str">
        <f>VLOOKUP(D227,Poeng!$B$10:$BK$252,Poeng!BK$1,FALSE)</f>
        <v>N/A</v>
      </c>
      <c r="X227" s="81"/>
      <c r="Y227" s="80"/>
      <c r="Z227" s="738"/>
      <c r="AA227" s="133"/>
      <c r="AB227" s="714"/>
      <c r="AC227" s="107">
        <f t="shared" si="30"/>
        <v>1</v>
      </c>
      <c r="AD227" s="3" t="e">
        <f>VLOOKUP(K227,'Assessment Details'!$O$45:$P$48,2,FALSE)</f>
        <v>#N/A</v>
      </c>
      <c r="AE227" s="3" t="e">
        <f>VLOOKUP(R227,'Assessment Details'!$O$45:$P$48,2,FALSE)</f>
        <v>#N/A</v>
      </c>
      <c r="AF227" s="3" t="e">
        <f>VLOOKUP(Y227,'Assessment Details'!$O$45:$P$48,2,FALSE)</f>
        <v>#N/A</v>
      </c>
      <c r="AI227" s="70"/>
      <c r="AJ227" s="671"/>
      <c r="AK227" s="70"/>
      <c r="AL227" s="70"/>
      <c r="AM227" s="70"/>
      <c r="AN227" s="70"/>
      <c r="AO227" s="70"/>
      <c r="AP227" s="70"/>
      <c r="AS227" s="23"/>
      <c r="AT227" s="23"/>
      <c r="AU227" s="23"/>
      <c r="AV227" s="23"/>
      <c r="AW227" s="23"/>
      <c r="AX227" s="23"/>
      <c r="AZ227" s="714"/>
    </row>
    <row r="228" spans="1:52" ht="15" customHeight="1" thickBot="1" x14ac:dyDescent="0.3">
      <c r="A228" s="1076">
        <v>219</v>
      </c>
      <c r="B228" s="1077" t="s">
        <v>824</v>
      </c>
      <c r="C228" s="1081" t="s">
        <v>824</v>
      </c>
      <c r="D228" s="824" t="s">
        <v>890</v>
      </c>
      <c r="E228" s="341" t="s">
        <v>83</v>
      </c>
      <c r="F228" s="125">
        <f>Inn_Credits</f>
        <v>10</v>
      </c>
      <c r="G228" s="131"/>
      <c r="H228" s="126">
        <f>Inn_cont_tot</f>
        <v>0</v>
      </c>
      <c r="I228" s="867" t="str">
        <f>"Credits achieved: "&amp;Inn_tot_user</f>
        <v>Credits achieved: 0</v>
      </c>
      <c r="J228" s="134"/>
      <c r="K228" s="282"/>
      <c r="L228" s="746"/>
      <c r="M228" s="816"/>
      <c r="N228" s="383"/>
      <c r="O228" s="126">
        <f>VLOOKUP(D228,Poeng!$B$10:$BC$252,Poeng!AF$1,FALSE)</f>
        <v>0</v>
      </c>
      <c r="P228" s="867" t="str">
        <f>"Credits achieved: "&amp;Inn_d_user</f>
        <v>Credits achieved: 0</v>
      </c>
      <c r="Q228" s="747"/>
      <c r="R228" s="748"/>
      <c r="S228" s="746"/>
      <c r="T228" s="319"/>
      <c r="U228" s="383"/>
      <c r="V228" s="126">
        <f>VLOOKUP(D228,Poeng!$B$10:$BC$252,Poeng!AG$1,FALSE)</f>
        <v>0</v>
      </c>
      <c r="W228" s="867" t="str">
        <f>"Credits achieved: "&amp;Inn_c_user</f>
        <v>Credits achieved: 0</v>
      </c>
      <c r="X228" s="382"/>
      <c r="Y228" s="136"/>
      <c r="Z228" s="756"/>
      <c r="AA228" s="133"/>
      <c r="AB228" s="641"/>
      <c r="AC228" s="107">
        <f t="shared" si="30"/>
        <v>1</v>
      </c>
      <c r="AD228" s="276">
        <v>0</v>
      </c>
      <c r="AE228" s="276">
        <v>0</v>
      </c>
      <c r="AF228" s="276">
        <v>0</v>
      </c>
      <c r="AI228" s="70"/>
      <c r="AJ228" s="671" t="s">
        <v>83</v>
      </c>
      <c r="AK228" s="70"/>
      <c r="AL228" s="70"/>
      <c r="AM228" s="70"/>
      <c r="AN228" s="70"/>
      <c r="AO228" s="70"/>
      <c r="AP228" s="70"/>
      <c r="AS228" s="23" t="str">
        <f t="shared" si="24"/>
        <v>N/A</v>
      </c>
      <c r="AT228" s="23" t="str">
        <f t="shared" si="25"/>
        <v>N/A</v>
      </c>
      <c r="AU228" s="23" t="str">
        <f t="shared" si="26"/>
        <v>N/A</v>
      </c>
      <c r="AV228" s="23"/>
      <c r="AW228" s="23"/>
      <c r="AX228" s="23"/>
      <c r="AZ228" s="641"/>
    </row>
    <row r="229" spans="1:52" x14ac:dyDescent="0.25">
      <c r="A229" s="1076"/>
      <c r="B229" s="1077"/>
      <c r="C229" s="1072"/>
      <c r="D229" s="824"/>
      <c r="E229" s="45"/>
      <c r="F229" s="3"/>
      <c r="G229" s="3"/>
      <c r="H229" s="3"/>
      <c r="I229" s="3"/>
      <c r="J229" s="45"/>
      <c r="K229" s="3"/>
      <c r="L229" s="757"/>
      <c r="M229" s="817"/>
      <c r="N229" s="586"/>
      <c r="O229" s="586"/>
      <c r="P229" s="3"/>
      <c r="Q229" s="27"/>
      <c r="R229" s="757"/>
      <c r="S229" s="757"/>
      <c r="T229" s="277"/>
      <c r="U229" s="279"/>
      <c r="V229" s="279"/>
      <c r="W229" s="3"/>
      <c r="X229" s="280"/>
      <c r="Y229" s="279"/>
      <c r="Z229" s="757"/>
      <c r="AA229" s="277"/>
      <c r="AB229" s="277"/>
      <c r="AC229" s="107"/>
      <c r="AD229" s="278"/>
      <c r="AE229" s="278"/>
      <c r="AF229" s="278"/>
      <c r="AJ229" s="3"/>
    </row>
    <row r="230" spans="1:52" x14ac:dyDescent="0.25">
      <c r="A230" s="1078"/>
      <c r="B230" s="1079"/>
      <c r="C230" s="825"/>
      <c r="D230" s="825"/>
      <c r="E230" s="31"/>
      <c r="M230" s="121"/>
      <c r="N230" s="820"/>
      <c r="O230" s="820"/>
      <c r="P230" s="820"/>
      <c r="Q230" s="758"/>
      <c r="R230" s="758"/>
      <c r="S230" s="759"/>
      <c r="T230" s="271"/>
      <c r="U230" s="8"/>
      <c r="V230" s="8"/>
      <c r="W230" s="820"/>
      <c r="X230" s="8"/>
      <c r="Y230" s="8"/>
      <c r="Z230" s="759"/>
      <c r="AA230" s="271"/>
      <c r="AB230" s="271"/>
      <c r="AC230" s="107"/>
      <c r="AD230" s="1"/>
      <c r="AE230" s="1"/>
      <c r="AF230" s="1"/>
      <c r="AJ230" s="3"/>
    </row>
    <row r="231" spans="1:52" x14ac:dyDescent="0.25">
      <c r="A231" s="1079"/>
      <c r="B231" s="1079"/>
      <c r="C231" s="825"/>
      <c r="D231" s="825"/>
      <c r="E231" s="286"/>
      <c r="F231" s="18"/>
      <c r="M231" s="121"/>
      <c r="N231" s="820"/>
      <c r="O231" s="820"/>
      <c r="P231" s="820"/>
      <c r="Q231" s="758"/>
      <c r="R231" s="758"/>
      <c r="S231" s="760"/>
      <c r="T231" s="271"/>
      <c r="U231" s="8"/>
      <c r="V231" s="8"/>
      <c r="W231" s="820"/>
      <c r="X231" s="8"/>
      <c r="Y231" s="8"/>
      <c r="Z231" s="760"/>
      <c r="AA231" s="271"/>
      <c r="AB231" s="271"/>
      <c r="AC231" s="107"/>
      <c r="AD231" s="1"/>
      <c r="AE231" s="1"/>
      <c r="AF231" s="1"/>
      <c r="AJ231" s="3"/>
    </row>
    <row r="232" spans="1:52" x14ac:dyDescent="0.25">
      <c r="D232" s="19"/>
      <c r="E232" s="31"/>
      <c r="F232" s="26"/>
      <c r="M232" s="121"/>
      <c r="N232" s="820"/>
      <c r="O232" s="820"/>
      <c r="P232" s="820"/>
      <c r="Q232" s="758"/>
      <c r="R232" s="758"/>
      <c r="S232" s="759"/>
      <c r="T232" s="271"/>
      <c r="U232" s="8"/>
      <c r="V232" s="8"/>
      <c r="W232" s="8"/>
      <c r="X232" s="8"/>
      <c r="Y232" s="8"/>
      <c r="Z232" s="759"/>
      <c r="AA232" s="271"/>
      <c r="AB232" s="271"/>
      <c r="AC232" s="107"/>
      <c r="AD232" s="1"/>
      <c r="AE232" s="1"/>
      <c r="AF232" s="1"/>
      <c r="AJ232" s="3"/>
    </row>
    <row r="233" spans="1:52" x14ac:dyDescent="0.25">
      <c r="D233" s="19"/>
      <c r="E233" s="32"/>
      <c r="F233" s="18"/>
      <c r="M233" s="121"/>
      <c r="N233" s="820"/>
      <c r="O233" s="820"/>
      <c r="P233" s="820"/>
      <c r="Q233" s="758"/>
      <c r="R233" s="758"/>
      <c r="S233" s="760"/>
      <c r="T233" s="271"/>
      <c r="U233" s="8"/>
      <c r="V233" s="8"/>
      <c r="W233" s="8"/>
      <c r="X233" s="8"/>
      <c r="Y233" s="8"/>
      <c r="Z233" s="760"/>
      <c r="AA233" s="271"/>
      <c r="AB233" s="271"/>
      <c r="AC233" s="107"/>
      <c r="AD233" s="1"/>
      <c r="AE233" s="1"/>
      <c r="AF233" s="1"/>
      <c r="AJ233" s="3"/>
    </row>
    <row r="234" spans="1:52" x14ac:dyDescent="0.25">
      <c r="D234" s="19"/>
      <c r="E234" s="31"/>
      <c r="F234" s="26"/>
      <c r="M234" s="121"/>
      <c r="N234" s="820"/>
      <c r="O234" s="820"/>
      <c r="P234" s="820"/>
      <c r="Q234" s="758"/>
      <c r="R234" s="758"/>
      <c r="S234" s="759"/>
      <c r="T234" s="271"/>
      <c r="U234" s="8"/>
      <c r="V234" s="8"/>
      <c r="W234" s="8"/>
      <c r="X234" s="8"/>
      <c r="Y234" s="8"/>
      <c r="Z234" s="759"/>
      <c r="AA234" s="271"/>
      <c r="AB234" s="271"/>
      <c r="AC234" s="107"/>
      <c r="AD234" s="27"/>
      <c r="AE234" s="27"/>
      <c r="AF234" s="27"/>
      <c r="AG234" s="27"/>
      <c r="AH234" s="27"/>
      <c r="AI234" s="27"/>
      <c r="AJ234" s="3"/>
      <c r="AY234" s="27"/>
      <c r="AZ234" s="27"/>
    </row>
    <row r="235" spans="1:52" x14ac:dyDescent="0.25">
      <c r="D235" s="19"/>
      <c r="M235" s="121"/>
      <c r="N235" s="820"/>
      <c r="O235" s="820"/>
      <c r="P235" s="820"/>
      <c r="Q235" s="758"/>
      <c r="R235" s="758"/>
      <c r="S235" s="758"/>
      <c r="T235" s="271"/>
      <c r="U235" s="8"/>
      <c r="V235" s="8"/>
      <c r="W235" s="8"/>
      <c r="X235" s="8"/>
      <c r="Y235" s="8"/>
      <c r="Z235" s="758"/>
      <c r="AA235" s="271"/>
      <c r="AB235" s="271"/>
      <c r="AC235" s="107"/>
      <c r="AD235" s="1"/>
      <c r="AE235" s="1"/>
      <c r="AF235" s="1"/>
      <c r="AJ235" s="27"/>
      <c r="AK235" s="27"/>
      <c r="AL235" s="27"/>
      <c r="AM235" s="27"/>
      <c r="AN235" s="27"/>
      <c r="AO235" s="27"/>
      <c r="AP235" s="27"/>
      <c r="AS235" s="27"/>
      <c r="AT235" s="27"/>
      <c r="AU235" s="27"/>
      <c r="AV235" s="27"/>
      <c r="AW235" s="27"/>
      <c r="AX235" s="27"/>
    </row>
    <row r="236" spans="1:52" x14ac:dyDescent="0.25">
      <c r="D236" s="19"/>
      <c r="M236" s="121"/>
      <c r="N236" s="820"/>
      <c r="O236" s="820"/>
      <c r="P236" s="820"/>
      <c r="Q236" s="758"/>
      <c r="R236" s="758"/>
      <c r="S236" s="758"/>
      <c r="T236" s="271"/>
      <c r="U236" s="8"/>
      <c r="V236" s="8"/>
      <c r="W236" s="8"/>
      <c r="X236" s="8"/>
      <c r="Y236" s="8"/>
      <c r="Z236" s="758"/>
      <c r="AA236" s="271"/>
      <c r="AB236" s="271"/>
      <c r="AC236" s="107"/>
      <c r="AD236" s="1"/>
      <c r="AE236" s="1"/>
      <c r="AF236" s="1"/>
      <c r="AJ236" s="3"/>
    </row>
    <row r="237" spans="1:52" x14ac:dyDescent="0.25">
      <c r="D237" s="19"/>
      <c r="M237" s="121"/>
      <c r="N237" s="820"/>
      <c r="O237" s="820"/>
      <c r="P237" s="820"/>
      <c r="Q237" s="758"/>
      <c r="R237" s="758"/>
      <c r="S237" s="758"/>
      <c r="T237" s="271"/>
      <c r="U237" s="8"/>
      <c r="V237" s="8"/>
      <c r="W237" s="8"/>
      <c r="X237" s="8"/>
      <c r="Y237" s="8"/>
      <c r="Z237" s="758"/>
      <c r="AA237" s="271"/>
      <c r="AB237" s="271"/>
      <c r="AC237" s="107"/>
      <c r="AD237" s="1"/>
      <c r="AE237" s="1"/>
      <c r="AF237" s="1"/>
      <c r="AJ237" s="3"/>
    </row>
    <row r="238" spans="1:52" hidden="1" x14ac:dyDescent="0.25">
      <c r="B238" s="824" t="s">
        <v>64</v>
      </c>
      <c r="C238" s="824"/>
      <c r="D238" s="824"/>
      <c r="E238" s="318" t="str">
        <f>Hea02_Crit1</f>
        <v>Pre-requisite: A site-specific indoor air quality plan has been produced</v>
      </c>
      <c r="F238" s="122" t="str">
        <f>Hea02_Crit1_credits</f>
        <v>Yes/No</v>
      </c>
      <c r="G238" s="43"/>
      <c r="H238" s="123"/>
      <c r="I238" s="127" t="str">
        <f>Hea02_minst_crit</f>
        <v>Unclassified</v>
      </c>
      <c r="J238" s="80"/>
      <c r="K238" s="281" t="s">
        <v>295</v>
      </c>
      <c r="L238" s="738"/>
      <c r="M238" s="815"/>
      <c r="N238" s="83"/>
      <c r="O238" s="878"/>
      <c r="P238" s="878"/>
      <c r="Q238" s="744"/>
      <c r="R238" s="745"/>
      <c r="S238" s="738"/>
      <c r="T238" s="319"/>
      <c r="U238" s="83"/>
      <c r="V238" s="878"/>
      <c r="W238" s="878"/>
      <c r="X238" s="81"/>
      <c r="Y238" s="80"/>
      <c r="Z238" s="738"/>
      <c r="AA238" s="133"/>
      <c r="AB238" s="640" t="s">
        <v>14</v>
      </c>
      <c r="AC238" s="107">
        <f>AC47</f>
        <v>1</v>
      </c>
      <c r="AD238" s="3">
        <f>VLOOKUP(K238,'Assessment Details'!$O$45:$P$48,2,FALSE)</f>
        <v>3</v>
      </c>
      <c r="AE238" s="3" t="e">
        <f>VLOOKUP(R238,'Assessment Details'!$O$45:$P$48,2,FALSE)</f>
        <v>#N/A</v>
      </c>
      <c r="AF238" s="3" t="e">
        <f>VLOOKUP(Y238,'Assessment Details'!$O$45:$P$48,2,FALSE)</f>
        <v>#N/A</v>
      </c>
      <c r="AI238" s="70"/>
      <c r="AJ238" s="671" t="s">
        <v>261</v>
      </c>
      <c r="AK238" s="70"/>
      <c r="AL238" s="70"/>
      <c r="AM238" s="70"/>
      <c r="AN238" s="70"/>
      <c r="AO238" s="70"/>
      <c r="AP238" s="70"/>
      <c r="AS238" s="23" t="str">
        <f>IF($AJ$4=ais_nei,AIS_NA,IF(AK238="",AIS_NA,AK238))</f>
        <v>N/A</v>
      </c>
      <c r="AT238" s="23" t="str">
        <f>IF($AJ$4=ais_nei,AIS_NA,IF(AL238="",AIS_NA,AL238))</f>
        <v>N/A</v>
      </c>
      <c r="AU238" s="23" t="str">
        <f>IF($AJ$4=ais_nei,AIS_NA,IF(AM238="",AIS_NA,AM238))</f>
        <v>N/A</v>
      </c>
      <c r="AV238" s="23"/>
      <c r="AW238" s="23"/>
      <c r="AX238" s="23"/>
      <c r="AZ238" s="640"/>
    </row>
    <row r="239" spans="1:52" hidden="1" x14ac:dyDescent="0.25">
      <c r="D239" s="19"/>
      <c r="M239" s="121"/>
      <c r="N239" s="820"/>
      <c r="O239" s="820"/>
      <c r="P239" s="820"/>
      <c r="Q239" s="758"/>
      <c r="R239" s="758"/>
      <c r="S239" s="758"/>
      <c r="T239" s="271"/>
      <c r="U239" s="8"/>
      <c r="V239" s="8"/>
      <c r="W239" s="8"/>
      <c r="X239" s="8"/>
      <c r="Y239" s="8"/>
      <c r="Z239" s="758"/>
      <c r="AA239" s="271"/>
      <c r="AB239" s="271"/>
      <c r="AC239" s="107"/>
      <c r="AD239" s="1"/>
      <c r="AE239" s="1"/>
      <c r="AF239" s="1"/>
      <c r="AJ239" s="3"/>
    </row>
    <row r="240" spans="1:52" hidden="1" x14ac:dyDescent="0.25">
      <c r="D240" s="19"/>
      <c r="M240" s="121"/>
      <c r="N240" s="820"/>
      <c r="O240" s="820"/>
      <c r="P240" s="820"/>
      <c r="Q240" s="758"/>
      <c r="R240" s="758"/>
      <c r="S240" s="758"/>
      <c r="T240" s="271"/>
      <c r="U240" s="8"/>
      <c r="V240" s="8"/>
      <c r="W240" s="8"/>
      <c r="X240" s="8"/>
      <c r="Y240" s="8"/>
      <c r="Z240" s="758"/>
      <c r="AA240" s="271"/>
      <c r="AB240" s="271"/>
      <c r="AC240" s="107"/>
      <c r="AD240" s="1"/>
      <c r="AE240" s="1"/>
      <c r="AF240" s="1"/>
      <c r="AJ240" s="3"/>
    </row>
    <row r="241" spans="1:58" hidden="1" x14ac:dyDescent="0.25">
      <c r="D241" s="19"/>
      <c r="M241" s="121"/>
      <c r="N241" s="820"/>
      <c r="O241" s="820"/>
      <c r="P241" s="820"/>
      <c r="Q241" s="758"/>
      <c r="R241" s="758"/>
      <c r="S241" s="758"/>
      <c r="T241" s="271"/>
      <c r="U241" s="8"/>
      <c r="V241" s="8"/>
      <c r="W241" s="8"/>
      <c r="X241" s="8"/>
      <c r="Y241" s="8"/>
      <c r="Z241" s="758"/>
      <c r="AA241" s="271"/>
      <c r="AB241" s="271"/>
      <c r="AC241" s="107"/>
      <c r="AD241" s="1"/>
      <c r="AE241" s="1"/>
      <c r="AF241" s="1"/>
      <c r="AJ241" s="3"/>
    </row>
    <row r="242" spans="1:58" hidden="1" x14ac:dyDescent="0.25">
      <c r="D242" s="19"/>
      <c r="M242" s="121"/>
      <c r="N242" s="820"/>
      <c r="O242" s="820"/>
      <c r="P242" s="820"/>
      <c r="Q242" s="758"/>
      <c r="R242" s="758"/>
      <c r="S242" s="758"/>
      <c r="T242" s="271"/>
      <c r="U242" s="8"/>
      <c r="V242" s="8"/>
      <c r="W242" s="8"/>
      <c r="X242" s="8"/>
      <c r="Y242" s="8"/>
      <c r="Z242" s="758"/>
      <c r="AA242" s="271"/>
      <c r="AB242" s="271"/>
      <c r="AC242" s="107"/>
      <c r="AD242" s="1"/>
      <c r="AE242" s="1"/>
      <c r="AF242" s="1"/>
      <c r="AJ242" s="3"/>
    </row>
    <row r="243" spans="1:58" hidden="1" x14ac:dyDescent="0.25">
      <c r="D243" s="19"/>
      <c r="M243" s="121"/>
      <c r="N243" s="820"/>
      <c r="O243" s="820"/>
      <c r="P243" s="820"/>
      <c r="Q243" s="758"/>
      <c r="R243" s="758"/>
      <c r="S243" s="758"/>
      <c r="T243" s="271"/>
      <c r="U243" s="8"/>
      <c r="V243" s="8"/>
      <c r="W243" s="8"/>
      <c r="X243" s="8"/>
      <c r="Y243" s="8"/>
      <c r="Z243" s="758"/>
      <c r="AA243" s="271"/>
      <c r="AB243" s="271"/>
      <c r="AC243" s="107"/>
      <c r="AD243" s="1"/>
      <c r="AE243" s="1"/>
      <c r="AF243" s="1"/>
      <c r="AJ243" s="3"/>
    </row>
    <row r="244" spans="1:58" hidden="1" x14ac:dyDescent="0.25">
      <c r="D244" s="19"/>
      <c r="M244" s="121"/>
      <c r="N244" s="820"/>
      <c r="O244" s="820"/>
      <c r="P244" s="820"/>
      <c r="Q244" s="758"/>
      <c r="R244" s="758"/>
      <c r="S244" s="758"/>
      <c r="T244" s="271"/>
      <c r="U244" s="8"/>
      <c r="V244" s="8"/>
      <c r="W244" s="8"/>
      <c r="X244" s="8"/>
      <c r="Y244" s="8"/>
      <c r="Z244" s="758"/>
      <c r="AA244" s="271"/>
      <c r="AB244" s="271"/>
      <c r="AC244" s="107"/>
      <c r="AD244" s="1"/>
      <c r="AE244" s="1"/>
      <c r="AF244" s="1"/>
      <c r="AJ244" s="3"/>
    </row>
    <row r="245" spans="1:58" hidden="1" x14ac:dyDescent="0.25">
      <c r="D245" s="19"/>
      <c r="M245" s="121"/>
      <c r="N245" s="820"/>
      <c r="O245" s="820"/>
      <c r="P245" s="820"/>
      <c r="Q245" s="758"/>
      <c r="R245" s="758"/>
      <c r="S245" s="758"/>
      <c r="T245" s="271"/>
      <c r="U245" s="8"/>
      <c r="V245" s="8"/>
      <c r="W245" s="8"/>
      <c r="X245" s="8"/>
      <c r="Y245" s="8"/>
      <c r="Z245" s="758"/>
      <c r="AA245" s="271"/>
      <c r="AB245" s="271"/>
      <c r="AC245" s="107"/>
      <c r="AD245" s="1"/>
      <c r="AE245" s="1"/>
      <c r="AF245" s="1"/>
      <c r="AJ245" s="3"/>
    </row>
    <row r="246" spans="1:58" hidden="1" x14ac:dyDescent="0.25">
      <c r="D246" s="19"/>
      <c r="M246" s="121"/>
      <c r="N246" s="820"/>
      <c r="O246" s="820"/>
      <c r="P246" s="820"/>
      <c r="Q246" s="758"/>
      <c r="R246" s="758"/>
      <c r="S246" s="758"/>
      <c r="T246" s="271"/>
      <c r="U246" s="8"/>
      <c r="V246" s="8"/>
      <c r="W246" s="8"/>
      <c r="X246" s="8"/>
      <c r="Y246" s="8"/>
      <c r="Z246" s="758"/>
      <c r="AA246" s="271"/>
      <c r="AB246" s="271"/>
      <c r="AC246" s="107"/>
      <c r="AD246" s="1"/>
      <c r="AE246" s="1"/>
      <c r="AF246" s="1"/>
      <c r="AJ246" s="3"/>
    </row>
    <row r="247" spans="1:58" hidden="1" x14ac:dyDescent="0.25">
      <c r="A247" s="1069">
        <v>3</v>
      </c>
      <c r="B247" s="824" t="s">
        <v>61</v>
      </c>
      <c r="C247" s="824"/>
      <c r="D247" s="824"/>
      <c r="E247" s="340" t="str">
        <f>Man01_Crit1</f>
        <v>Pre-requisite: early stage greenhouse gas calculation</v>
      </c>
      <c r="F247" s="122" t="str">
        <f>Man01_Crit1_credits</f>
        <v>Yes/No</v>
      </c>
      <c r="G247" s="43"/>
      <c r="H247" s="123"/>
      <c r="I247" s="129" t="str">
        <f>Man01_minstd</f>
        <v>Unclassified</v>
      </c>
      <c r="J247" s="80"/>
      <c r="K247" s="281" t="s">
        <v>295</v>
      </c>
      <c r="L247" s="738"/>
      <c r="M247" s="816"/>
      <c r="N247" s="83"/>
      <c r="O247" s="878"/>
      <c r="P247" s="878"/>
      <c r="Q247" s="744"/>
      <c r="R247" s="745"/>
      <c r="S247" s="738"/>
      <c r="T247" s="319"/>
      <c r="U247" s="83"/>
      <c r="V247" s="878"/>
      <c r="W247" s="878"/>
      <c r="X247" s="81"/>
      <c r="Y247" s="80"/>
      <c r="Z247" s="738"/>
      <c r="AA247" s="133"/>
      <c r="AB247" s="640"/>
      <c r="AC247" s="107">
        <f>AC11</f>
        <v>1</v>
      </c>
      <c r="AD247" s="3">
        <f>VLOOKUP(K247,'Assessment Details'!$O$45:$P$48,2,FALSE)</f>
        <v>3</v>
      </c>
      <c r="AE247" s="3" t="e">
        <f>VLOOKUP(R247,'Assessment Details'!$O$45:$P$48,2,FALSE)</f>
        <v>#N/A</v>
      </c>
      <c r="AF247" s="3" t="e">
        <f>VLOOKUP(Y247,'Assessment Details'!$O$45:$P$48,2,FALSE)</f>
        <v>#N/A</v>
      </c>
      <c r="AI247" s="70"/>
      <c r="AJ247" s="671"/>
      <c r="AK247" s="727"/>
      <c r="AL247" s="727"/>
      <c r="AM247" s="3"/>
      <c r="AN247" s="3"/>
      <c r="AO247" s="3"/>
      <c r="AP247" s="70"/>
      <c r="AS247" s="23"/>
      <c r="AT247" s="23"/>
      <c r="AU247" s="23"/>
      <c r="AV247" s="23"/>
      <c r="AW247" s="23"/>
      <c r="AX247" s="23"/>
      <c r="AZ247" s="640"/>
      <c r="BD247" s="18"/>
      <c r="BE247" s="18"/>
      <c r="BF247" s="18"/>
    </row>
    <row r="248" spans="1:58" hidden="1" x14ac:dyDescent="0.25">
      <c r="A248" s="1069">
        <v>6</v>
      </c>
      <c r="B248" s="824" t="s">
        <v>61</v>
      </c>
      <c r="C248" s="824"/>
      <c r="D248" s="824"/>
      <c r="E248" s="340" t="str">
        <f>Man03_Crit1</f>
        <v>Minimum req: legal and sustainable timber</v>
      </c>
      <c r="F248" s="122" t="str">
        <f>Man03_Crit1_credits</f>
        <v>Yes/No</v>
      </c>
      <c r="G248" s="734"/>
      <c r="H248" s="123"/>
      <c r="I248" s="127" t="str">
        <f>Man03_minstd_cri</f>
        <v>Unclassified</v>
      </c>
      <c r="J248" s="80"/>
      <c r="K248" s="281" t="s">
        <v>295</v>
      </c>
      <c r="L248" s="738"/>
      <c r="M248" s="815"/>
      <c r="N248" s="83"/>
      <c r="O248" s="878"/>
      <c r="P248" s="878"/>
      <c r="Q248" s="744"/>
      <c r="R248" s="745"/>
      <c r="S248" s="738"/>
      <c r="T248" s="319"/>
      <c r="U248" s="83"/>
      <c r="V248" s="878"/>
      <c r="W248" s="878"/>
      <c r="X248" s="81"/>
      <c r="Y248" s="80"/>
      <c r="Z248" s="738"/>
      <c r="AA248" s="133"/>
      <c r="AB248" s="640" t="s">
        <v>14</v>
      </c>
      <c r="AC248" s="107">
        <f>AC21</f>
        <v>1</v>
      </c>
      <c r="AD248" s="3">
        <f>VLOOKUP(K248,'Assessment Details'!$O$45:$P$48,2,FALSE)</f>
        <v>3</v>
      </c>
      <c r="AE248" s="3" t="e">
        <f>VLOOKUP(R248,'Assessment Details'!$O$45:$P$48,2,FALSE)</f>
        <v>#N/A</v>
      </c>
      <c r="AF248" s="3" t="e">
        <f>VLOOKUP(Y248,'Assessment Details'!$O$45:$P$48,2,FALSE)</f>
        <v>#N/A</v>
      </c>
      <c r="AI248" s="70"/>
      <c r="AJ248" s="671" t="s">
        <v>261</v>
      </c>
      <c r="AK248" s="70"/>
      <c r="AL248" s="70"/>
      <c r="AM248" s="70"/>
      <c r="AN248" s="70"/>
      <c r="AO248" s="70"/>
      <c r="AP248" s="70"/>
      <c r="AS248" s="23" t="str">
        <f>IF($AJ$4=ais_nei,AIS_NA,IF(AK248="",AIS_NA,AK248))</f>
        <v>N/A</v>
      </c>
      <c r="AT248" s="23" t="str">
        <f>IF($AJ$4=ais_nei,AIS_NA,IF(AL248="",AIS_NA,AL248))</f>
        <v>N/A</v>
      </c>
      <c r="AU248" s="23" t="str">
        <f>IF($AJ$4=ais_nei,AIS_NA,IF(AM248="",AIS_NA,AM248))</f>
        <v>N/A</v>
      </c>
      <c r="AV248" s="23"/>
      <c r="AW248" s="23"/>
      <c r="AX248" s="23"/>
      <c r="AZ248" s="640"/>
    </row>
    <row r="249" spans="1:58" hidden="1" x14ac:dyDescent="0.25">
      <c r="A249" s="1069"/>
      <c r="B249" s="824"/>
      <c r="C249" s="824"/>
      <c r="D249" s="824"/>
      <c r="E249" s="340" t="str">
        <f>Man04_Crit1</f>
        <v>Pre-requisite: risk analysis</v>
      </c>
      <c r="F249" s="122" t="str">
        <f>Man04_Crit1_credits</f>
        <v>Yes/No</v>
      </c>
      <c r="G249" s="734"/>
      <c r="H249" s="123"/>
      <c r="I249" s="127" t="str">
        <f>Man04_minstd_cri</f>
        <v>N/A</v>
      </c>
      <c r="J249" s="80"/>
      <c r="K249" s="281" t="s">
        <v>295</v>
      </c>
      <c r="L249" s="738"/>
      <c r="M249" s="815"/>
      <c r="N249" s="83"/>
      <c r="O249" s="878"/>
      <c r="P249" s="878"/>
      <c r="Q249" s="744"/>
      <c r="R249" s="745"/>
      <c r="S249" s="738"/>
      <c r="T249" s="319"/>
      <c r="U249" s="83"/>
      <c r="V249" s="878"/>
      <c r="W249" s="878"/>
      <c r="X249" s="81"/>
      <c r="Y249" s="80"/>
      <c r="Z249" s="738"/>
      <c r="AA249" s="133"/>
      <c r="AB249" s="640"/>
      <c r="AC249" s="107">
        <f>IF(F249="",1,IF(F249=0,2,1))</f>
        <v>1</v>
      </c>
      <c r="AD249" s="3">
        <f>VLOOKUP(K249,'Assessment Details'!$O$45:$P$48,2,FALSE)</f>
        <v>3</v>
      </c>
      <c r="AE249" s="3" t="e">
        <f>VLOOKUP(R249,'Assessment Details'!$O$45:$P$48,2,FALSE)</f>
        <v>#N/A</v>
      </c>
      <c r="AF249" s="3" t="e">
        <f>VLOOKUP(Y249,'Assessment Details'!$O$45:$P$48,2,FALSE)</f>
        <v>#N/A</v>
      </c>
      <c r="AI249" s="70"/>
      <c r="AJ249" s="670"/>
      <c r="AK249" s="648"/>
      <c r="AL249" s="648"/>
      <c r="AM249" s="648"/>
      <c r="AN249" s="70"/>
      <c r="AO249" s="70"/>
      <c r="AP249" s="70"/>
      <c r="AS249" s="23"/>
      <c r="AT249" s="23"/>
      <c r="AU249" s="23"/>
      <c r="AV249" s="23"/>
      <c r="AW249" s="23"/>
      <c r="AX249" s="23"/>
      <c r="AY249" s="18"/>
      <c r="AZ249" s="640"/>
      <c r="BA249" s="18"/>
      <c r="BB249" s="18"/>
      <c r="BC249" s="18"/>
      <c r="BD249" s="18"/>
      <c r="BE249" s="18"/>
      <c r="BF249" s="18"/>
    </row>
    <row r="250" spans="1:58" hidden="1" x14ac:dyDescent="0.25">
      <c r="A250" s="1069">
        <v>9</v>
      </c>
      <c r="B250" s="824" t="s">
        <v>61</v>
      </c>
      <c r="C250" s="824"/>
      <c r="D250" s="824"/>
      <c r="E250" s="712" t="str">
        <f>Man05_Crit1</f>
        <v>Pre-requisite: statutory obligations fulfilled</v>
      </c>
      <c r="F250" s="122" t="str">
        <f>IF(ADBT0=ADBT12,'Assessment Details'!O61,Man05_Crit1_credits)</f>
        <v>Yes/No</v>
      </c>
      <c r="G250" s="43"/>
      <c r="H250" s="123"/>
      <c r="I250" s="129" t="str">
        <f>Man05_minstd_cri</f>
        <v>N/A</v>
      </c>
      <c r="J250" s="80"/>
      <c r="K250" s="281" t="s">
        <v>295</v>
      </c>
      <c r="L250" s="738"/>
      <c r="M250" s="816"/>
      <c r="N250" s="83"/>
      <c r="O250" s="878"/>
      <c r="P250" s="878"/>
      <c r="Q250" s="744"/>
      <c r="R250" s="745"/>
      <c r="S250" s="738"/>
      <c r="T250" s="319"/>
      <c r="U250" s="83"/>
      <c r="V250" s="878"/>
      <c r="W250" s="878"/>
      <c r="X250" s="81"/>
      <c r="Y250" s="80"/>
      <c r="Z250" s="738"/>
      <c r="AA250" s="133"/>
      <c r="AB250" s="640"/>
      <c r="AC250" s="107">
        <f>AC32</f>
        <v>1</v>
      </c>
      <c r="AD250" s="3">
        <f>VLOOKUP(K250,'Assessment Details'!$O$45:$P$48,2,FALSE)</f>
        <v>3</v>
      </c>
      <c r="AE250" s="3" t="e">
        <f>VLOOKUP(R250,'Assessment Details'!$O$45:$P$48,2,FALSE)</f>
        <v>#N/A</v>
      </c>
      <c r="AF250" s="3" t="e">
        <f>VLOOKUP(Y250,'Assessment Details'!$O$45:$P$48,2,FALSE)</f>
        <v>#N/A</v>
      </c>
      <c r="AI250" s="70"/>
      <c r="AJ250" s="671"/>
      <c r="AK250" s="727"/>
      <c r="AL250" s="727"/>
      <c r="AM250" s="3"/>
      <c r="AN250" s="3"/>
      <c r="AO250" s="3"/>
      <c r="AP250" s="70"/>
      <c r="AS250" s="23"/>
      <c r="AT250" s="23"/>
      <c r="AU250" s="23"/>
      <c r="AV250" s="23"/>
      <c r="AW250" s="23"/>
      <c r="AX250" s="23"/>
      <c r="AZ250" s="640"/>
      <c r="BD250" s="18"/>
      <c r="BE250" s="18"/>
      <c r="BF250" s="18"/>
    </row>
    <row r="251" spans="1:58" hidden="1" x14ac:dyDescent="0.25">
      <c r="D251" s="19"/>
      <c r="N251" s="821"/>
      <c r="O251" s="821"/>
      <c r="P251" s="821"/>
      <c r="AA251" s="82"/>
      <c r="AB251" s="82"/>
      <c r="AJ251" s="3"/>
    </row>
    <row r="252" spans="1:58" hidden="1" x14ac:dyDescent="0.25">
      <c r="A252" s="1069">
        <v>29</v>
      </c>
    </row>
    <row r="253" spans="1:58" hidden="1" x14ac:dyDescent="0.25">
      <c r="A253" s="1069">
        <v>24</v>
      </c>
      <c r="B253" s="824" t="s">
        <v>65</v>
      </c>
      <c r="C253" s="824"/>
      <c r="D253" s="824"/>
      <c r="E253" s="318" t="str">
        <f>Ene01_Crit1</f>
        <v>Minimum req: absence of environmental toxins (EU taxonomy requirement: criterion 1)</v>
      </c>
      <c r="F253" s="122" t="str">
        <f>Ene01_Crit1_credits</f>
        <v>Yes/No</v>
      </c>
      <c r="G253" s="43"/>
      <c r="H253" s="123"/>
      <c r="I253" s="129" t="str">
        <f>Ene01_minstd</f>
        <v>Unclassified</v>
      </c>
      <c r="J253" s="80"/>
      <c r="K253" s="281" t="s">
        <v>295</v>
      </c>
      <c r="L253" s="738"/>
      <c r="M253" s="816"/>
      <c r="N253" s="83"/>
      <c r="O253" s="878"/>
      <c r="P253" s="878"/>
      <c r="Q253" s="744"/>
      <c r="R253" s="745"/>
      <c r="S253" s="738"/>
      <c r="T253" s="319"/>
      <c r="U253" s="83"/>
      <c r="V253" s="878"/>
      <c r="W253" s="878"/>
      <c r="X253" s="81"/>
      <c r="Y253" s="80"/>
      <c r="Z253" s="738"/>
      <c r="AA253" s="133"/>
      <c r="AB253" s="640"/>
      <c r="AC253" s="107">
        <f>AC67</f>
        <v>1</v>
      </c>
      <c r="AD253" s="1">
        <f>VLOOKUP(K253,'Assessment Details'!$O$45:$P$48,2,FALSE)</f>
        <v>3</v>
      </c>
      <c r="AE253" s="1" t="e">
        <f>VLOOKUP(R253,'Assessment Details'!$O$45:$P$48,2,FALSE)</f>
        <v>#N/A</v>
      </c>
      <c r="AF253" s="1" t="e">
        <f>VLOOKUP(Y253,'Assessment Details'!$O$45:$P$48,2,FALSE)</f>
        <v>#N/A</v>
      </c>
      <c r="AI253" s="70"/>
      <c r="AJ253" s="671"/>
      <c r="AK253" s="727"/>
      <c r="AL253" s="727"/>
      <c r="AM253" s="3"/>
      <c r="AN253" s="3"/>
      <c r="AO253" s="3"/>
      <c r="AP253" s="70"/>
      <c r="AS253" s="23"/>
      <c r="AT253" s="23"/>
      <c r="AU253" s="23"/>
      <c r="AV253" s="23"/>
      <c r="AW253" s="23"/>
      <c r="AX253" s="23"/>
      <c r="AZ253" s="640"/>
    </row>
    <row r="254" spans="1:58" hidden="1" x14ac:dyDescent="0.25">
      <c r="A254" s="1069">
        <v>81</v>
      </c>
      <c r="B254" s="824" t="s">
        <v>66</v>
      </c>
      <c r="C254" s="824"/>
      <c r="D254" s="824"/>
      <c r="E254" s="318" t="str">
        <f>Tra01_Crit1</f>
        <v>Pre-requisite: ecological risks and opportunities</v>
      </c>
      <c r="F254" s="122" t="str">
        <f>Tra01_Crit1_credits</f>
        <v>Yes/No</v>
      </c>
      <c r="G254" s="43"/>
      <c r="H254" s="123"/>
      <c r="I254" s="129" t="str">
        <f>Tra01_minstd</f>
        <v>N/A</v>
      </c>
      <c r="J254" s="80"/>
      <c r="K254" s="281" t="s">
        <v>295</v>
      </c>
      <c r="L254" s="738"/>
      <c r="M254" s="816"/>
      <c r="N254" s="83"/>
      <c r="O254" s="878"/>
      <c r="P254" s="878"/>
      <c r="Q254" s="744"/>
      <c r="R254" s="745"/>
      <c r="S254" s="738"/>
      <c r="T254" s="319"/>
      <c r="U254" s="83"/>
      <c r="V254" s="878"/>
      <c r="W254" s="878"/>
      <c r="X254" s="81"/>
      <c r="Y254" s="80"/>
      <c r="Z254" s="738"/>
      <c r="AA254" s="133"/>
      <c r="AB254" s="640"/>
      <c r="AC254" s="107">
        <f>AC97</f>
        <v>1</v>
      </c>
      <c r="AD254" s="1">
        <f>VLOOKUP(K254,'Assessment Details'!$O$45:$P$48,2,FALSE)</f>
        <v>3</v>
      </c>
      <c r="AE254" s="1" t="e">
        <f>VLOOKUP(R254,'Assessment Details'!$O$45:$P$48,2,FALSE)</f>
        <v>#N/A</v>
      </c>
      <c r="AF254" s="1" t="e">
        <f>VLOOKUP(Y254,'Assessment Details'!$O$45:$P$48,2,FALSE)</f>
        <v>#N/A</v>
      </c>
      <c r="AI254" s="70"/>
      <c r="AJ254" s="671"/>
      <c r="AK254" s="727"/>
      <c r="AL254" s="727"/>
      <c r="AM254" s="3"/>
      <c r="AN254" s="3"/>
      <c r="AO254" s="3"/>
      <c r="AP254" s="70"/>
      <c r="AS254" s="23"/>
      <c r="AT254" s="23"/>
      <c r="AU254" s="23"/>
      <c r="AV254" s="23"/>
      <c r="AW254" s="23"/>
      <c r="AX254" s="23"/>
      <c r="AZ254" s="640"/>
    </row>
    <row r="255" spans="1:58" hidden="1" x14ac:dyDescent="0.25">
      <c r="D255" s="19"/>
      <c r="N255" s="821"/>
      <c r="O255" s="821"/>
      <c r="P255" s="821"/>
      <c r="AJ255" s="3"/>
    </row>
    <row r="256" spans="1:58" hidden="1" x14ac:dyDescent="0.25">
      <c r="A256" s="1069">
        <v>48</v>
      </c>
      <c r="B256" s="824" t="s">
        <v>67</v>
      </c>
      <c r="C256" s="824"/>
      <c r="D256" s="824"/>
      <c r="E256" s="340" t="str">
        <f>Mat01_Crit1</f>
        <v>Pre-requisite: managing negative impacts on ecology</v>
      </c>
      <c r="F256" s="122" t="str">
        <f>Mat01_Crit1_credits</f>
        <v>Yes/No</v>
      </c>
      <c r="G256" s="734"/>
      <c r="H256" s="123"/>
      <c r="I256" s="127" t="str">
        <f>Mat01_minstd</f>
        <v>N/A</v>
      </c>
      <c r="J256" s="80"/>
      <c r="K256" s="281" t="s">
        <v>295</v>
      </c>
      <c r="L256" s="738"/>
      <c r="M256" s="815"/>
      <c r="N256" s="83"/>
      <c r="O256" s="878"/>
      <c r="P256" s="878"/>
      <c r="Q256" s="744"/>
      <c r="R256" s="745"/>
      <c r="S256" s="738"/>
      <c r="T256" s="319"/>
      <c r="U256" s="83"/>
      <c r="V256" s="878"/>
      <c r="W256" s="878"/>
      <c r="X256" s="81"/>
      <c r="Y256" s="80"/>
      <c r="Z256" s="738"/>
      <c r="AA256" s="133"/>
      <c r="AB256" s="640" t="s">
        <v>14</v>
      </c>
      <c r="AC256" s="107">
        <f>AC120</f>
        <v>1</v>
      </c>
      <c r="AD256" s="3">
        <f>VLOOKUP(K256,'Assessment Details'!$O$45:$P$48,2,FALSE)</f>
        <v>3</v>
      </c>
      <c r="AE256" s="3" t="e">
        <f>VLOOKUP(R256,'Assessment Details'!$O$45:$P$48,2,FALSE)</f>
        <v>#N/A</v>
      </c>
      <c r="AF256" s="3" t="e">
        <f>VLOOKUP(Y256,'Assessment Details'!$O$45:$P$48,2,FALSE)</f>
        <v>#N/A</v>
      </c>
      <c r="AI256" s="70"/>
      <c r="AJ256" s="671" t="s">
        <v>261</v>
      </c>
      <c r="AK256" s="70"/>
      <c r="AL256" s="70"/>
      <c r="AM256" s="70"/>
      <c r="AN256" s="70"/>
      <c r="AO256" s="70"/>
      <c r="AP256" s="70"/>
      <c r="AS256" s="23" t="str">
        <f t="shared" ref="AS256" si="31">IF($AJ$4=ais_nei,AIS_NA,IF(AK256="",AIS_NA,AK256))</f>
        <v>N/A</v>
      </c>
      <c r="AT256" s="23" t="str">
        <f t="shared" ref="AT256" si="32">IF($AJ$4=ais_nei,AIS_NA,IF(AL256="",AIS_NA,AL256))</f>
        <v>N/A</v>
      </c>
      <c r="AU256" s="23" t="str">
        <f t="shared" ref="AU256" si="33">IF($AJ$4=ais_nei,AIS_NA,IF(AM256="",AIS_NA,AM256))</f>
        <v>N/A</v>
      </c>
      <c r="AV256" s="23"/>
      <c r="AW256" s="23"/>
      <c r="AX256" s="23"/>
      <c r="AZ256" s="640"/>
    </row>
    <row r="257" spans="1:52" hidden="1" x14ac:dyDescent="0.25">
      <c r="A257" s="1069">
        <v>50</v>
      </c>
      <c r="B257" s="824" t="s">
        <v>67</v>
      </c>
      <c r="C257" s="824"/>
      <c r="D257" s="824"/>
      <c r="E257" s="340" t="str">
        <f>Mat02_Crit1</f>
        <v xml:space="preserve">Pre-requisite: suitably qualified acoustician </v>
      </c>
      <c r="F257" s="122" t="str">
        <f>Mat02_Crit1_credits</f>
        <v>Yes/No</v>
      </c>
      <c r="G257" s="43"/>
      <c r="H257" s="123"/>
      <c r="I257" s="127" t="str">
        <f>Mat02_minstd</f>
        <v>N/A</v>
      </c>
      <c r="J257" s="80"/>
      <c r="K257" s="281" t="s">
        <v>295</v>
      </c>
      <c r="L257" s="738"/>
      <c r="M257" s="816"/>
      <c r="N257" s="83"/>
      <c r="O257" s="878"/>
      <c r="P257" s="878"/>
      <c r="Q257" s="744"/>
      <c r="R257" s="745"/>
      <c r="S257" s="738"/>
      <c r="T257" s="319"/>
      <c r="U257" s="83"/>
      <c r="V257" s="878"/>
      <c r="W257" s="878"/>
      <c r="X257" s="81"/>
      <c r="Y257" s="80"/>
      <c r="Z257" s="738"/>
      <c r="AA257" s="133"/>
      <c r="AB257" s="640" t="s">
        <v>14</v>
      </c>
      <c r="AC257" s="107">
        <f>IF(F257="",1,IF(F257=0,2,1))</f>
        <v>1</v>
      </c>
      <c r="AD257" s="3">
        <f>VLOOKUP(K257,'Assessment Details'!$O$45:$P$48,2,FALSE)</f>
        <v>3</v>
      </c>
      <c r="AE257" s="3" t="e">
        <f>VLOOKUP(R257,'Assessment Details'!$O$45:$P$48,2,FALSE)</f>
        <v>#N/A</v>
      </c>
      <c r="AF257" s="3" t="e">
        <f>VLOOKUP(Y257,'Assessment Details'!$O$45:$P$48,2,FALSE)</f>
        <v>#N/A</v>
      </c>
      <c r="AI257" s="70"/>
      <c r="AJ257" s="671" t="s">
        <v>262</v>
      </c>
      <c r="AK257" s="70"/>
      <c r="AL257" s="70"/>
      <c r="AM257" s="70"/>
      <c r="AN257" s="70"/>
      <c r="AO257" s="70"/>
      <c r="AP257" s="70"/>
      <c r="AS257" s="23" t="str">
        <f t="shared" ref="AS257" si="34">IF($AJ$4=ais_nei,AIS_NA,IF(AK257="",AIS_NA,AK257))</f>
        <v>N/A</v>
      </c>
      <c r="AT257" s="23" t="str">
        <f t="shared" ref="AT257" si="35">IF($AJ$4=ais_nei,AIS_NA,IF(AL257="",AIS_NA,AL257))</f>
        <v>N/A</v>
      </c>
      <c r="AU257" s="23" t="str">
        <f t="shared" ref="AU257" si="36">IF($AJ$4=ais_nei,AIS_NA,IF(AM257="",AIS_NA,AM257))</f>
        <v>N/A</v>
      </c>
      <c r="AV257" s="23"/>
      <c r="AW257" s="23"/>
      <c r="AX257" s="23"/>
      <c r="AZ257" s="640"/>
    </row>
    <row r="258" spans="1:52" hidden="1" x14ac:dyDescent="0.25">
      <c r="A258" s="1069">
        <v>52</v>
      </c>
      <c r="B258" s="824" t="s">
        <v>67</v>
      </c>
      <c r="C258" s="824"/>
      <c r="D258" s="824"/>
      <c r="E258" s="340" t="str">
        <f>Mat03_Crit1</f>
        <v>Minimum req: agricultural area / forest (EU taxonomy requirement: criterion 2)</v>
      </c>
      <c r="F258" s="122" t="str">
        <f>Mat03_Crit1_credits</f>
        <v>Yes/No</v>
      </c>
      <c r="G258" s="43"/>
      <c r="H258" s="123"/>
      <c r="I258" s="128" t="str">
        <f>Mat03_minstd</f>
        <v>Very Good</v>
      </c>
      <c r="J258" s="80"/>
      <c r="K258" s="281" t="s">
        <v>295</v>
      </c>
      <c r="L258" s="738"/>
      <c r="M258" s="816"/>
      <c r="N258" s="83"/>
      <c r="O258" s="878"/>
      <c r="P258" s="878"/>
      <c r="Q258" s="744"/>
      <c r="R258" s="745"/>
      <c r="S258" s="738"/>
      <c r="T258" s="319"/>
      <c r="U258" s="83"/>
      <c r="V258" s="878"/>
      <c r="W258" s="878"/>
      <c r="X258" s="81"/>
      <c r="Y258" s="80"/>
      <c r="Z258" s="738"/>
      <c r="AA258" s="133"/>
      <c r="AB258" s="640" t="s">
        <v>14</v>
      </c>
      <c r="AC258" s="107">
        <f>IF(F258="",1,IF(F258=0,2,1))</f>
        <v>1</v>
      </c>
      <c r="AD258" s="3">
        <f>VLOOKUP(K258,'Assessment Details'!$O$45:$P$48,2,FALSE)</f>
        <v>3</v>
      </c>
      <c r="AE258" s="3" t="e">
        <f>VLOOKUP(R258,'Assessment Details'!$O$45:$P$48,2,FALSE)</f>
        <v>#N/A</v>
      </c>
      <c r="AF258" s="3" t="e">
        <f>VLOOKUP(Y258,'Assessment Details'!$O$45:$P$48,2,FALSE)</f>
        <v>#N/A</v>
      </c>
      <c r="AI258" s="70"/>
      <c r="AJ258" s="671" t="s">
        <v>309</v>
      </c>
      <c r="AK258" s="70"/>
      <c r="AL258" s="70"/>
      <c r="AM258" s="70"/>
      <c r="AN258" s="70"/>
      <c r="AO258" s="70"/>
      <c r="AP258" s="70"/>
      <c r="AS258" s="23" t="str">
        <f>IF($AJ$4=ais_nei,AIS_NA,IF(AK258="",AIS_NA,AK258))</f>
        <v>N/A</v>
      </c>
      <c r="AT258" s="23" t="str">
        <f>IF($AJ$4=ais_nei,AIS_NA,IF(AL258="",AIS_NA,AL258))</f>
        <v>N/A</v>
      </c>
      <c r="AU258" s="23" t="str">
        <f>IF($AJ$4=ais_nei,AIS_NA,IF(AM258="",AIS_NA,AM258))</f>
        <v>N/A</v>
      </c>
      <c r="AV258" s="23"/>
      <c r="AW258" s="23"/>
      <c r="AX258" s="23"/>
      <c r="AZ258" s="640"/>
    </row>
    <row r="259" spans="1:52" ht="15" hidden="1" customHeight="1" x14ac:dyDescent="0.25">
      <c r="A259" s="1069">
        <v>55</v>
      </c>
      <c r="B259" s="824" t="s">
        <v>67</v>
      </c>
      <c r="C259" s="824"/>
      <c r="D259" s="824"/>
      <c r="E259" s="822" t="str">
        <f>Mat06_Crit1</f>
        <v>Pre-requisite: statutory obligations, planning and site implementation</v>
      </c>
      <c r="F259" s="122" t="str">
        <f>Mat06_Crit1_credits</f>
        <v>Yes/No</v>
      </c>
      <c r="G259" s="43"/>
      <c r="H259" s="123"/>
      <c r="I259" s="127" t="str">
        <f>Mat06_minstd_cred</f>
        <v>N/A</v>
      </c>
      <c r="J259" s="80"/>
      <c r="K259" s="281" t="s">
        <v>295</v>
      </c>
      <c r="L259" s="738"/>
      <c r="M259" s="816"/>
      <c r="N259" s="83"/>
      <c r="O259" s="878"/>
      <c r="P259" s="878"/>
      <c r="Q259" s="744"/>
      <c r="R259" s="745"/>
      <c r="S259" s="738"/>
      <c r="T259" s="319"/>
      <c r="U259" s="83"/>
      <c r="V259" s="878"/>
      <c r="W259" s="878"/>
      <c r="X259" s="81"/>
      <c r="Y259" s="80"/>
      <c r="Z259" s="738"/>
      <c r="AA259" s="133"/>
      <c r="AB259" s="640" t="s">
        <v>14</v>
      </c>
      <c r="AC259" s="107">
        <f>IF(F259="",1,IF(F259=0,2,1))</f>
        <v>1</v>
      </c>
      <c r="AD259" s="3">
        <f>VLOOKUP(K259,'Assessment Details'!$O$45:$P$48,2,FALSE)</f>
        <v>3</v>
      </c>
      <c r="AE259" s="3" t="e">
        <f>VLOOKUP(R259,'Assessment Details'!$O$45:$P$48,2,FALSE)</f>
        <v>#N/A</v>
      </c>
      <c r="AF259" s="3" t="e">
        <f>VLOOKUP(Y259,'Assessment Details'!$O$45:$P$48,2,FALSE)</f>
        <v>#N/A</v>
      </c>
      <c r="AI259" s="70"/>
      <c r="AJ259" s="671" t="s">
        <v>262</v>
      </c>
      <c r="AK259" s="70"/>
      <c r="AL259" s="70"/>
      <c r="AM259" s="70"/>
      <c r="AN259" s="70"/>
      <c r="AO259" s="70"/>
      <c r="AP259" s="70"/>
      <c r="AS259" s="23" t="str">
        <f t="shared" ref="AS259" si="37">IF($AJ$4=ais_nei,AIS_NA,IF(AK259="",AIS_NA,AK259))</f>
        <v>N/A</v>
      </c>
      <c r="AT259" s="23" t="str">
        <f t="shared" ref="AT259" si="38">IF($AJ$4=ais_nei,AIS_NA,IF(AL259="",AIS_NA,AL259))</f>
        <v>N/A</v>
      </c>
      <c r="AU259" s="23" t="str">
        <f t="shared" ref="AU259" si="39">IF($AJ$4=ais_nei,AIS_NA,IF(AM259="",AIS_NA,AM259))</f>
        <v>N/A</v>
      </c>
      <c r="AV259" s="23"/>
      <c r="AW259" s="23"/>
      <c r="AX259" s="23"/>
      <c r="AZ259" s="640"/>
    </row>
    <row r="260" spans="1:52" hidden="1" x14ac:dyDescent="0.25">
      <c r="A260" s="1069">
        <v>57</v>
      </c>
      <c r="B260" s="824" t="s">
        <v>67</v>
      </c>
      <c r="C260" s="824"/>
      <c r="D260" s="824"/>
      <c r="E260" s="822" t="str">
        <f>Mat07_Crit1</f>
        <v>Pre-requisite: flood risk assessment</v>
      </c>
      <c r="F260" s="122" t="str">
        <f>Mat07_Crit1_credits</f>
        <v>Yes/No</v>
      </c>
      <c r="G260" s="43"/>
      <c r="H260" s="123"/>
      <c r="I260" s="127" t="str" cm="1">
        <f t="array" ref="I260">Mat07_minstd_cred</f>
        <v>N/A</v>
      </c>
      <c r="J260" s="80"/>
      <c r="K260" s="281" t="s">
        <v>295</v>
      </c>
      <c r="L260" s="796"/>
      <c r="M260" s="816"/>
      <c r="N260" s="83"/>
      <c r="O260" s="878"/>
      <c r="P260" s="878"/>
      <c r="Q260" s="744"/>
      <c r="R260" s="745"/>
      <c r="S260" s="738"/>
      <c r="T260" s="319"/>
      <c r="U260" s="83"/>
      <c r="V260" s="878"/>
      <c r="W260" s="878"/>
      <c r="X260" s="81"/>
      <c r="Y260" s="80"/>
      <c r="Z260" s="738"/>
      <c r="AA260" s="133"/>
      <c r="AB260" s="640" t="s">
        <v>14</v>
      </c>
      <c r="AC260" s="107">
        <f>IF(F260="",1,IF(F260=0,2,1))</f>
        <v>1</v>
      </c>
      <c r="AD260" s="3">
        <f>VLOOKUP(K260,'Assessment Details'!$O$45:$P$48,2,FALSE)</f>
        <v>3</v>
      </c>
      <c r="AE260" s="3" t="e">
        <f>VLOOKUP(R260,'Assessment Details'!$O$45:$P$48,2,FALSE)</f>
        <v>#N/A</v>
      </c>
      <c r="AF260" s="3" t="e">
        <f>VLOOKUP(Y260,'Assessment Details'!$O$45:$P$48,2,FALSE)</f>
        <v>#N/A</v>
      </c>
      <c r="AI260" s="70"/>
      <c r="AJ260" s="671" t="s">
        <v>262</v>
      </c>
      <c r="AK260" s="70"/>
      <c r="AL260" s="70"/>
      <c r="AM260" s="70"/>
      <c r="AN260" s="70"/>
      <c r="AO260" s="70"/>
      <c r="AP260" s="70"/>
      <c r="AS260" s="23" t="str">
        <f t="shared" ref="AS260" si="40">IF($AJ$4=ais_nei,AIS_NA,IF(AK260="",AIS_NA,AK260))</f>
        <v>N/A</v>
      </c>
      <c r="AT260" s="23" t="str">
        <f t="shared" ref="AT260" si="41">IF($AJ$4=ais_nei,AIS_NA,IF(AL260="",AIS_NA,AL260))</f>
        <v>N/A</v>
      </c>
      <c r="AU260" s="23" t="str">
        <f t="shared" ref="AU260" si="42">IF($AJ$4=ais_nei,AIS_NA,IF(AM260="",AIS_NA,AM260))</f>
        <v>N/A</v>
      </c>
      <c r="AV260" s="23"/>
      <c r="AW260" s="23"/>
      <c r="AX260" s="23"/>
      <c r="AZ260" s="640"/>
    </row>
    <row r="261" spans="1:52" hidden="1" x14ac:dyDescent="0.25">
      <c r="A261" s="1069">
        <v>62</v>
      </c>
      <c r="B261" s="824" t="s">
        <v>68</v>
      </c>
      <c r="C261" s="824"/>
      <c r="D261" s="824"/>
      <c r="E261" s="340" t="str">
        <f>Wst01_Crit1</f>
        <v>Pre-requisite: risk assessment and the "three- step strategy"</v>
      </c>
      <c r="F261" s="122" t="str">
        <f>Wst01_Crit1_credits</f>
        <v>Yes/No</v>
      </c>
      <c r="G261" s="43"/>
      <c r="H261" s="123"/>
      <c r="I261" s="127" t="str">
        <f>Wst01_minstd</f>
        <v>N/A</v>
      </c>
      <c r="J261" s="80"/>
      <c r="K261" s="281" t="s">
        <v>295</v>
      </c>
      <c r="L261" s="738"/>
      <c r="M261" s="815"/>
      <c r="N261" s="83"/>
      <c r="O261" s="878"/>
      <c r="P261" s="878"/>
      <c r="Q261" s="744"/>
      <c r="R261" s="745"/>
      <c r="S261" s="738"/>
      <c r="T261" s="319"/>
      <c r="U261" s="83"/>
      <c r="V261" s="878"/>
      <c r="W261" s="878"/>
      <c r="X261" s="81"/>
      <c r="Y261" s="80"/>
      <c r="Z261" s="738"/>
      <c r="AA261" s="133"/>
      <c r="AB261" s="640" t="s">
        <v>14</v>
      </c>
      <c r="AC261" s="107">
        <f>AC150</f>
        <v>1</v>
      </c>
      <c r="AD261" s="3">
        <f>VLOOKUP(K261,'Assessment Details'!$O$45:$P$48,2,FALSE)</f>
        <v>3</v>
      </c>
      <c r="AE261" s="3" t="e">
        <f>VLOOKUP(R261,'Assessment Details'!$O$45:$P$48,2,FALSE)</f>
        <v>#N/A</v>
      </c>
      <c r="AF261" s="3" t="e">
        <f>VLOOKUP(Y261,'Assessment Details'!$O$45:$P$48,2,FALSE)</f>
        <v>#N/A</v>
      </c>
      <c r="AI261" s="70"/>
      <c r="AJ261" s="671" t="s">
        <v>261</v>
      </c>
      <c r="AK261" s="70"/>
      <c r="AL261" s="70"/>
      <c r="AM261" s="70"/>
      <c r="AN261" s="70"/>
      <c r="AO261" s="70"/>
      <c r="AP261" s="70"/>
      <c r="AS261" s="23" t="str">
        <f>IF($AJ$4=ais_nei,AIS_NA,IF(AK261="",AIS_NA,AK261))</f>
        <v>N/A</v>
      </c>
      <c r="AT261" s="23" t="str">
        <f>IF($AJ$4=ais_nei,AIS_NA,IF(AL261="",AIS_NA,AL261))</f>
        <v>N/A</v>
      </c>
      <c r="AU261" s="23" t="str">
        <f>IF($AJ$4=ais_nei,AIS_NA,IF(AM261="",AIS_NA,AM261))</f>
        <v>N/A</v>
      </c>
      <c r="AV261" s="23"/>
      <c r="AW261" s="23"/>
      <c r="AX261" s="23"/>
      <c r="AZ261" s="640"/>
    </row>
    <row r="262" spans="1:52" hidden="1" x14ac:dyDescent="0.25">
      <c r="D262" s="19"/>
      <c r="N262" s="821"/>
      <c r="O262" s="821"/>
      <c r="P262" s="821"/>
      <c r="AJ262" s="3"/>
    </row>
    <row r="263" spans="1:52" hidden="1" x14ac:dyDescent="0.25">
      <c r="D263" s="19"/>
      <c r="N263" s="821"/>
      <c r="O263" s="821"/>
      <c r="P263" s="821"/>
      <c r="AJ263" s="3"/>
    </row>
    <row r="264" spans="1:52" hidden="1" x14ac:dyDescent="0.25">
      <c r="D264" s="19"/>
      <c r="N264" s="821"/>
      <c r="O264" s="821"/>
      <c r="P264" s="821"/>
      <c r="AJ264" s="3"/>
    </row>
    <row r="265" spans="1:52" hidden="1" x14ac:dyDescent="0.25">
      <c r="N265" s="821"/>
      <c r="O265" s="821"/>
      <c r="P265" s="821"/>
      <c r="AJ265" s="3"/>
    </row>
    <row r="266" spans="1:52" hidden="1" x14ac:dyDescent="0.25">
      <c r="N266" s="821"/>
      <c r="O266" s="821"/>
      <c r="P266" s="821"/>
      <c r="AJ266" s="3"/>
    </row>
    <row r="267" spans="1:52" hidden="1" x14ac:dyDescent="0.25">
      <c r="N267" s="821"/>
      <c r="O267" s="821"/>
      <c r="P267" s="821"/>
      <c r="AJ267" s="3"/>
    </row>
    <row r="268" spans="1:52" hidden="1" x14ac:dyDescent="0.25">
      <c r="N268" s="821"/>
      <c r="O268" s="821"/>
      <c r="P268" s="821"/>
      <c r="AJ268" s="3"/>
    </row>
    <row r="269" spans="1:52" hidden="1" x14ac:dyDescent="0.25">
      <c r="N269" s="821"/>
      <c r="O269" s="821"/>
      <c r="P269" s="821"/>
      <c r="AJ269" s="3"/>
    </row>
    <row r="270" spans="1:52" hidden="1" x14ac:dyDescent="0.25">
      <c r="N270" s="821"/>
      <c r="O270" s="821"/>
      <c r="P270" s="821"/>
      <c r="AJ270" s="3"/>
    </row>
    <row r="271" spans="1:52" hidden="1" x14ac:dyDescent="0.25">
      <c r="N271" s="821"/>
      <c r="O271" s="821"/>
      <c r="P271" s="821"/>
      <c r="AJ271" s="3"/>
    </row>
    <row r="272" spans="1:52" hidden="1" x14ac:dyDescent="0.25">
      <c r="N272" s="821"/>
      <c r="O272" s="821"/>
      <c r="P272" s="821"/>
      <c r="AJ272" s="3"/>
    </row>
    <row r="273" spans="14:36" hidden="1" x14ac:dyDescent="0.25">
      <c r="N273" s="821"/>
      <c r="O273" s="821"/>
      <c r="P273" s="821"/>
      <c r="AJ273" s="3"/>
    </row>
    <row r="274" spans="14:36" hidden="1" x14ac:dyDescent="0.25">
      <c r="N274" s="821"/>
      <c r="O274" s="821"/>
      <c r="P274" s="821"/>
      <c r="AJ274" s="3"/>
    </row>
    <row r="275" spans="14:36" hidden="1" x14ac:dyDescent="0.25">
      <c r="N275" s="821"/>
      <c r="O275" s="821"/>
      <c r="P275" s="821"/>
      <c r="AJ275" s="3"/>
    </row>
    <row r="276" spans="14:36" hidden="1" x14ac:dyDescent="0.25">
      <c r="N276" s="821"/>
      <c r="O276" s="821"/>
      <c r="P276" s="821"/>
      <c r="AJ276" s="3"/>
    </row>
    <row r="277" spans="14:36" hidden="1" x14ac:dyDescent="0.25">
      <c r="N277" s="821"/>
      <c r="O277" s="821"/>
      <c r="P277" s="821"/>
      <c r="AJ277" s="3"/>
    </row>
    <row r="278" spans="14:36" hidden="1" x14ac:dyDescent="0.25">
      <c r="N278" s="821"/>
      <c r="O278" s="821"/>
      <c r="P278" s="821"/>
      <c r="AJ278" s="3"/>
    </row>
    <row r="279" spans="14:36" hidden="1" x14ac:dyDescent="0.25">
      <c r="N279" s="821"/>
      <c r="O279" s="821"/>
      <c r="P279" s="821"/>
      <c r="AJ279" s="3"/>
    </row>
    <row r="280" spans="14:36" hidden="1" x14ac:dyDescent="0.25">
      <c r="N280" s="821"/>
      <c r="O280" s="821"/>
      <c r="P280" s="821"/>
      <c r="AJ280" s="3"/>
    </row>
    <row r="281" spans="14:36" hidden="1" x14ac:dyDescent="0.25">
      <c r="N281" s="821"/>
      <c r="O281" s="821"/>
      <c r="P281" s="821"/>
      <c r="AJ281" s="3"/>
    </row>
    <row r="282" spans="14:36" hidden="1" x14ac:dyDescent="0.25">
      <c r="N282" s="821"/>
      <c r="O282" s="821"/>
      <c r="P282" s="821"/>
      <c r="AJ282" s="3"/>
    </row>
    <row r="283" spans="14:36" hidden="1" x14ac:dyDescent="0.25">
      <c r="N283" s="821"/>
      <c r="O283" s="821"/>
      <c r="P283" s="821"/>
      <c r="AJ283" s="3"/>
    </row>
    <row r="284" spans="14:36" hidden="1" x14ac:dyDescent="0.25">
      <c r="N284" s="821"/>
      <c r="O284" s="821"/>
      <c r="P284" s="821"/>
      <c r="AJ284" s="3"/>
    </row>
    <row r="285" spans="14:36" hidden="1" x14ac:dyDescent="0.25">
      <c r="N285" s="821"/>
      <c r="O285" s="821"/>
      <c r="P285" s="821"/>
      <c r="AJ285" s="3"/>
    </row>
    <row r="286" spans="14:36" hidden="1" x14ac:dyDescent="0.25">
      <c r="N286" s="821"/>
      <c r="O286" s="821"/>
      <c r="P286" s="821"/>
      <c r="AJ286" s="3"/>
    </row>
    <row r="287" spans="14:36" hidden="1" x14ac:dyDescent="0.25">
      <c r="N287" s="821"/>
      <c r="O287" s="821"/>
      <c r="P287" s="821"/>
      <c r="AJ287" s="3"/>
    </row>
    <row r="288" spans="14:36" hidden="1" x14ac:dyDescent="0.25">
      <c r="N288" s="821"/>
      <c r="O288" s="821"/>
      <c r="P288" s="821"/>
      <c r="AJ288" s="3"/>
    </row>
    <row r="289" spans="14:36" hidden="1" x14ac:dyDescent="0.25">
      <c r="N289" s="821"/>
      <c r="O289" s="821"/>
      <c r="P289" s="821"/>
      <c r="AJ289" s="3"/>
    </row>
    <row r="290" spans="14:36" hidden="1" x14ac:dyDescent="0.25">
      <c r="N290" s="821"/>
      <c r="O290" s="821"/>
      <c r="P290" s="821"/>
      <c r="AJ290" s="3"/>
    </row>
    <row r="291" spans="14:36" hidden="1" x14ac:dyDescent="0.25">
      <c r="N291" s="821"/>
      <c r="O291" s="821"/>
      <c r="P291" s="821"/>
      <c r="AJ291" s="3"/>
    </row>
    <row r="292" spans="14:36" hidden="1" x14ac:dyDescent="0.25">
      <c r="N292" s="821"/>
      <c r="O292" s="821"/>
      <c r="P292" s="821"/>
      <c r="AJ292" s="3"/>
    </row>
    <row r="293" spans="14:36" hidden="1" x14ac:dyDescent="0.25">
      <c r="N293" s="821"/>
      <c r="O293" s="821"/>
      <c r="P293" s="821"/>
      <c r="AJ293" s="3"/>
    </row>
    <row r="294" spans="14:36" hidden="1" x14ac:dyDescent="0.25">
      <c r="N294" s="821"/>
      <c r="O294" s="821"/>
      <c r="P294" s="821"/>
      <c r="AJ294" s="3"/>
    </row>
    <row r="295" spans="14:36" hidden="1" x14ac:dyDescent="0.25">
      <c r="N295" s="821"/>
      <c r="O295" s="821"/>
      <c r="P295" s="821"/>
      <c r="AJ295" s="3"/>
    </row>
    <row r="296" spans="14:36" hidden="1" x14ac:dyDescent="0.25">
      <c r="N296" s="821"/>
      <c r="O296" s="821"/>
      <c r="P296" s="821"/>
      <c r="AJ296" s="3"/>
    </row>
    <row r="297" spans="14:36" hidden="1" x14ac:dyDescent="0.25">
      <c r="N297" s="821"/>
      <c r="O297" s="821"/>
      <c r="P297" s="821"/>
      <c r="AJ297" s="3"/>
    </row>
    <row r="298" spans="14:36" hidden="1" x14ac:dyDescent="0.25">
      <c r="N298" s="821"/>
      <c r="O298" s="821"/>
      <c r="P298" s="821"/>
      <c r="AJ298" s="3"/>
    </row>
    <row r="299" spans="14:36" hidden="1" x14ac:dyDescent="0.25">
      <c r="N299" s="821"/>
      <c r="O299" s="821"/>
      <c r="P299" s="821"/>
      <c r="AJ299" s="3"/>
    </row>
    <row r="300" spans="14:36" hidden="1" x14ac:dyDescent="0.25">
      <c r="N300" s="821"/>
      <c r="O300" s="821"/>
      <c r="P300" s="821"/>
      <c r="AJ300" s="3"/>
    </row>
    <row r="301" spans="14:36" hidden="1" x14ac:dyDescent="0.25">
      <c r="N301" s="821"/>
      <c r="O301" s="821"/>
      <c r="P301" s="821"/>
      <c r="AJ301" s="3"/>
    </row>
    <row r="302" spans="14:36" hidden="1" x14ac:dyDescent="0.25">
      <c r="N302" s="821"/>
      <c r="O302" s="821"/>
      <c r="P302" s="821"/>
      <c r="AJ302" s="3"/>
    </row>
    <row r="303" spans="14:36" hidden="1" x14ac:dyDescent="0.25">
      <c r="N303" s="821"/>
      <c r="O303" s="821"/>
      <c r="P303" s="821"/>
      <c r="AJ303" s="3"/>
    </row>
    <row r="304" spans="14:36" hidden="1" x14ac:dyDescent="0.25">
      <c r="N304" s="821"/>
      <c r="O304" s="821"/>
      <c r="P304" s="821"/>
      <c r="AJ304" s="3"/>
    </row>
    <row r="305" spans="14:36" hidden="1" x14ac:dyDescent="0.25">
      <c r="N305" s="821"/>
      <c r="O305" s="821"/>
      <c r="P305" s="821"/>
      <c r="AJ305" s="3"/>
    </row>
    <row r="306" spans="14:36" hidden="1" x14ac:dyDescent="0.25">
      <c r="N306" s="821"/>
      <c r="O306" s="821"/>
      <c r="P306" s="821"/>
      <c r="AJ306" s="3"/>
    </row>
    <row r="307" spans="14:36" hidden="1" x14ac:dyDescent="0.25">
      <c r="N307" s="821"/>
      <c r="O307" s="821"/>
      <c r="P307" s="821"/>
      <c r="AJ307" s="3"/>
    </row>
    <row r="308" spans="14:36" hidden="1" x14ac:dyDescent="0.25">
      <c r="N308" s="821"/>
      <c r="O308" s="821"/>
      <c r="P308" s="821"/>
      <c r="AJ308" s="3"/>
    </row>
    <row r="309" spans="14:36" hidden="1" x14ac:dyDescent="0.25">
      <c r="N309" s="821"/>
      <c r="O309" s="821"/>
      <c r="P309" s="821"/>
      <c r="AJ309" s="3"/>
    </row>
    <row r="310" spans="14:36" hidden="1" x14ac:dyDescent="0.25">
      <c r="N310" s="821"/>
      <c r="O310" s="821"/>
      <c r="P310" s="821"/>
      <c r="AJ310" s="3"/>
    </row>
    <row r="311" spans="14:36" hidden="1" x14ac:dyDescent="0.25">
      <c r="N311" s="821"/>
      <c r="O311" s="821"/>
      <c r="P311" s="821"/>
      <c r="AJ311" s="3"/>
    </row>
    <row r="312" spans="14:36" hidden="1" x14ac:dyDescent="0.25">
      <c r="N312" s="821"/>
      <c r="O312" s="821"/>
      <c r="P312" s="821"/>
      <c r="AJ312" s="3"/>
    </row>
    <row r="313" spans="14:36" hidden="1" x14ac:dyDescent="0.25">
      <c r="N313" s="821"/>
      <c r="O313" s="821"/>
      <c r="P313" s="821"/>
      <c r="AJ313" s="3"/>
    </row>
    <row r="314" spans="14:36" hidden="1" x14ac:dyDescent="0.25">
      <c r="N314" s="821"/>
      <c r="O314" s="821"/>
      <c r="P314" s="821"/>
      <c r="AJ314" s="3"/>
    </row>
    <row r="315" spans="14:36" hidden="1" x14ac:dyDescent="0.25">
      <c r="N315" s="821"/>
      <c r="O315" s="821"/>
      <c r="P315" s="821"/>
      <c r="AJ315" s="3"/>
    </row>
    <row r="316" spans="14:36" hidden="1" x14ac:dyDescent="0.25">
      <c r="N316" s="821"/>
      <c r="O316" s="821"/>
      <c r="P316" s="821"/>
      <c r="AJ316" s="3"/>
    </row>
    <row r="317" spans="14:36" hidden="1" x14ac:dyDescent="0.25">
      <c r="N317" s="821"/>
      <c r="O317" s="821"/>
      <c r="P317" s="821"/>
      <c r="AJ317" s="3"/>
    </row>
    <row r="318" spans="14:36" hidden="1" x14ac:dyDescent="0.25">
      <c r="N318" s="821"/>
      <c r="O318" s="821"/>
      <c r="P318" s="821"/>
      <c r="AJ318" s="3"/>
    </row>
    <row r="319" spans="14:36" hidden="1" x14ac:dyDescent="0.25">
      <c r="N319" s="821"/>
      <c r="O319" s="821"/>
      <c r="P319" s="821"/>
      <c r="AJ319" s="3"/>
    </row>
    <row r="320" spans="14:36" hidden="1" x14ac:dyDescent="0.25">
      <c r="N320" s="821"/>
      <c r="O320" s="821"/>
      <c r="P320" s="821"/>
      <c r="AJ320" s="7"/>
    </row>
    <row r="321" spans="14:16" hidden="1" x14ac:dyDescent="0.25">
      <c r="N321" s="821"/>
      <c r="O321" s="821"/>
      <c r="P321" s="821"/>
    </row>
    <row r="322" spans="14:16" hidden="1" x14ac:dyDescent="0.25">
      <c r="N322" s="821"/>
      <c r="O322" s="821"/>
      <c r="P322" s="821"/>
    </row>
    <row r="323" spans="14:16" hidden="1" x14ac:dyDescent="0.25">
      <c r="N323" s="821"/>
      <c r="O323" s="821"/>
      <c r="P323" s="821"/>
    </row>
    <row r="324" spans="14:16" hidden="1" x14ac:dyDescent="0.25">
      <c r="N324" s="821"/>
      <c r="O324" s="821"/>
      <c r="P324" s="821"/>
    </row>
    <row r="325" spans="14:16" hidden="1" x14ac:dyDescent="0.25">
      <c r="N325" s="821"/>
      <c r="O325" s="821"/>
      <c r="P325" s="821"/>
    </row>
    <row r="326" spans="14:16" hidden="1" x14ac:dyDescent="0.25">
      <c r="N326" s="821"/>
      <c r="O326" s="821"/>
      <c r="P326" s="821"/>
    </row>
    <row r="327" spans="14:16" hidden="1" x14ac:dyDescent="0.25">
      <c r="N327" s="821"/>
      <c r="O327" s="821"/>
      <c r="P327" s="821"/>
    </row>
    <row r="328" spans="14:16" hidden="1" x14ac:dyDescent="0.25">
      <c r="N328" s="821"/>
      <c r="O328" s="821"/>
      <c r="P328" s="821"/>
    </row>
    <row r="329" spans="14:16" hidden="1" x14ac:dyDescent="0.25">
      <c r="N329" s="821"/>
      <c r="O329" s="821"/>
      <c r="P329" s="821"/>
    </row>
    <row r="330" spans="14:16" hidden="1" x14ac:dyDescent="0.25">
      <c r="N330" s="821"/>
      <c r="O330" s="821"/>
      <c r="P330" s="821"/>
    </row>
    <row r="331" spans="14:16" hidden="1" x14ac:dyDescent="0.25">
      <c r="N331" s="821"/>
      <c r="O331" s="821"/>
      <c r="P331" s="821"/>
    </row>
    <row r="332" spans="14:16" hidden="1" x14ac:dyDescent="0.25">
      <c r="N332" s="821"/>
      <c r="O332" s="821"/>
      <c r="P332" s="821"/>
    </row>
    <row r="333" spans="14:16" hidden="1" x14ac:dyDescent="0.25">
      <c r="N333" s="821"/>
      <c r="O333" s="821"/>
      <c r="P333" s="821"/>
    </row>
    <row r="334" spans="14:16" hidden="1" x14ac:dyDescent="0.25">
      <c r="N334" s="821"/>
      <c r="O334" s="821"/>
      <c r="P334" s="821"/>
    </row>
    <row r="335" spans="14:16" x14ac:dyDescent="0.25">
      <c r="N335" s="821"/>
      <c r="O335" s="821"/>
      <c r="P335" s="821"/>
    </row>
    <row r="336" spans="14:16" x14ac:dyDescent="0.25">
      <c r="N336" s="821"/>
      <c r="O336" s="821"/>
      <c r="P336" s="821"/>
    </row>
    <row r="337" spans="14:16" x14ac:dyDescent="0.25">
      <c r="N337" s="821"/>
      <c r="O337" s="821"/>
      <c r="P337" s="821"/>
    </row>
    <row r="338" spans="14:16" x14ac:dyDescent="0.25">
      <c r="N338" s="821"/>
      <c r="O338" s="821"/>
      <c r="P338" s="821"/>
    </row>
    <row r="339" spans="14:16" x14ac:dyDescent="0.25">
      <c r="N339" s="821"/>
      <c r="O339" s="821"/>
      <c r="P339" s="821"/>
    </row>
    <row r="340" spans="14:16" x14ac:dyDescent="0.25">
      <c r="N340" s="821"/>
      <c r="O340" s="821"/>
      <c r="P340" s="821"/>
    </row>
    <row r="341" spans="14:16" x14ac:dyDescent="0.25">
      <c r="N341" s="821"/>
      <c r="O341" s="821"/>
      <c r="P341" s="821"/>
    </row>
    <row r="342" spans="14:16" x14ac:dyDescent="0.25">
      <c r="N342" s="821"/>
      <c r="O342" s="821"/>
      <c r="P342" s="821"/>
    </row>
    <row r="343" spans="14:16" x14ac:dyDescent="0.25">
      <c r="N343" s="821"/>
      <c r="O343" s="821"/>
      <c r="P343" s="821"/>
    </row>
    <row r="344" spans="14:16" x14ac:dyDescent="0.25">
      <c r="N344" s="821"/>
      <c r="O344" s="821"/>
      <c r="P344" s="821"/>
    </row>
    <row r="345" spans="14:16" x14ac:dyDescent="0.25">
      <c r="N345" s="821"/>
      <c r="O345" s="821"/>
      <c r="P345" s="821"/>
    </row>
    <row r="346" spans="14:16" x14ac:dyDescent="0.25">
      <c r="N346" s="821"/>
      <c r="O346" s="821"/>
      <c r="P346" s="821"/>
    </row>
    <row r="347" spans="14:16" x14ac:dyDescent="0.25">
      <c r="N347" s="821"/>
      <c r="O347" s="821"/>
      <c r="P347" s="821"/>
    </row>
    <row r="348" spans="14:16" x14ac:dyDescent="0.25">
      <c r="N348" s="821"/>
      <c r="O348" s="821"/>
      <c r="P348" s="821"/>
    </row>
    <row r="349" spans="14:16" x14ac:dyDescent="0.25">
      <c r="N349" s="821"/>
      <c r="O349" s="821"/>
      <c r="P349" s="821"/>
    </row>
    <row r="350" spans="14:16" x14ac:dyDescent="0.25">
      <c r="N350" s="821"/>
      <c r="O350" s="821"/>
      <c r="P350" s="821"/>
    </row>
    <row r="351" spans="14:16" x14ac:dyDescent="0.25">
      <c r="N351" s="821"/>
      <c r="O351" s="821"/>
      <c r="P351" s="821"/>
    </row>
    <row r="352" spans="14:16" x14ac:dyDescent="0.25">
      <c r="N352" s="821"/>
      <c r="O352" s="821"/>
      <c r="P352" s="821"/>
    </row>
    <row r="387" spans="5:26" ht="15.75" x14ac:dyDescent="0.25">
      <c r="E387" s="6"/>
      <c r="F387" s="6"/>
      <c r="G387" s="6"/>
      <c r="H387" s="6"/>
      <c r="I387" s="6"/>
      <c r="J387" s="6"/>
      <c r="K387" s="6"/>
      <c r="L387" s="25"/>
      <c r="N387" s="762"/>
      <c r="O387" s="762"/>
      <c r="P387" s="762"/>
      <c r="Q387" s="762"/>
      <c r="R387" s="762"/>
      <c r="S387" s="762"/>
      <c r="U387" s="263"/>
      <c r="V387" s="263"/>
      <c r="W387" s="263"/>
      <c r="X387" s="263"/>
      <c r="Y387" s="263"/>
      <c r="Z387" s="762"/>
    </row>
  </sheetData>
  <sheetProtection algorithmName="SHA-512" hashValue="bJghpunYOtMw+i7E8lagH1GxO1japdLjLgd8tipF45IxQePoGLkpXGQ4o9SIwG3FJTcmI3D2ztS+2YcMOr8kVg==" saltValue="yXQyHwVH6InvBvbkCxEC8A==" spinCount="100000" sheet="1" formatCells="0" formatColumns="0" formatRows="0" selectLockedCells="1" sort="0" autoFilter="0"/>
  <protectedRanges>
    <protectedRange sqref="M11:N11 M18:N21 M28:N28 M32:N32 D11:F11 D18:D21 D28 D32 D37:O37 C42:D42 D43:D46 B38:O38 G19:K20 H11:K11 G22:K25 G29:K31 G33:K35 N22:N25 N29:N31 N33:N35 H18:K18 H21:K21 H28:K28 H32:K32 D36:N36 Z11:AB11 H39:K39 D67:F67 H67:K67 D97:F97 H97:K97 H106:K106 D120:F120 H120:K120 D150:F150 H150:K150 D165:F165 H165:K165 D197:F197 H197:K197 D47:F47 H47:K47 D52:F52 H52:K52 D56:F56 H56:K56 D59:F59 H59:K59 D62:F62 H62:K62 D75:F75 H75:K75 D79:F79 H79:K79 D82:F82 H82:K82 D85:F85 H85:K85 D89:F89 H89:K89 D92:F92 H92:K92 D100:F100 H100:K100 D109:F109 H109:K109 D111:F111 H111:K111 D115:F115 H115:K115 D124:F124 H124:K124 D128:F128 H128:K128 D132:F132 H132:K132 H138:K138 D143:F143 H143:K143 D156:F156 H156:K156 D158:F158 H158:K158 D160:F160 H160:K160 D168:F168 H168:K168 D176:F176 H176:K176 D180:F180 H180:K180 D184:F184 H184:K184 D186:F186 H186:K186 D189:F189 H189:K189 D202:F202 H202:K202 D205:F205 H205:K205 D208:F208 H208:K208 E42:K46 D53:K55 D60:K61 D63:K63 D76:K78 D80:K81 D83:K84 D90:K91 D93:K93 E98:K99 D110:K110 D112:K114 D116:K116 M106:O106 E123:K123 E140:K142 E144:K146 D157:K157 D159:K159 D161:K161 M150:O150 D185:K185 D203:K204 D206:K207 D209:K210 AC97:AF100 AC120:AF136 A252:A254 E48:K51 D57:K58 D121:K122 E125:K127 E129:K131 D169:K171 D174:K175 D177:K179 D181:K183 D187:K188 D64:O66 D94:O96 D103:O105 D117:O119 D147:O149 D162:O164 D194:O196 D211:O227 M39:O39 M120:O138 D133:K137 D198:K201 M197:O210 E28:F35 O28:O36 E26:K27 N26:O27 D86:K88 D101:K102 M97:O102 M165:O166 B228:O228 S216:V228 O15:O25 P15:P39 Z216:AF228 M67:O70 AA18:AB21 AA28:AB28 AA32:AB32 AA67:AB67 AA97:AB97 AA150:AB151 AA124:AB124 AA128:AB128 AA143:AB143 AA75:AB86 AA100:AB100 AA156:AB161 AA52:AB63 AA120:AB122 AA132:AB136 AA138:AB139 AA137:AF137 AA36:AB39 AA64:AF66 AA87:AF96 AA147:AF149 B229:AF229 Q11:R106 A9:AF10 A247:AF250 B238:AF238 A256:AF261 A230:AF233 B253:AF254 B39:F39 M42:O63 P42:P70 AC42:AF63 AA42:AB47 D190:K193 M193:O193 P193:P228 W193:W228 T193:V215 M156:O161 P156:R166 D166:K167 Q168:R228 M167:R167 X168:Y228 AC67:AF86 D106:F106 P108:R138 AA101:AF119 AC150:AF161 D138:F138 M140:O146 P140:R150 D139:K139 M139:R139 AC138:AF146 B40:K41 M40:P41 AA40:AF41 E152:K155 D151:K151 M151:R155 M108:O116 M107:R107 D107:K108 C43:C227 D172:F173 H172:K173 M168:P192 T168:W192 AA162:AF215 B42:B227 M71:P73 E68:K74 P74:P106 M74:O93 A11:A229 B11:C37 E12:F25 G12:K17 N12:N17 T11:Y167 O11:P14 AC11:AF39" name="Sortering"/>
    <protectedRange sqref="L39:L63 L106:L116 L197:L210 L11:L35 L67 L97:L102 L165:L193 L69:L93 L150:L161 L120:L146" name="Sortering_1"/>
    <protectedRange sqref="S11" name="Sortering_5"/>
    <protectedRange sqref="S21 S28 S32 S36:S38 S64:S66 S94:S96 S103:S105 S117:S119 S147:S149 S162:S164 S194:S196 S211:S215" name="Sortering_2"/>
    <protectedRange sqref="S39:S41 S67 S97 S106 S120 S150 S165 S197" name="Sortering_5_1"/>
    <protectedRange sqref="S12:S20 S29:S31 S33:S35 S42:S63 S198:S210 S22:S27 S68:S93 S98:S102 S166:S193 L68 Z68 S107:S116 S151:S161 S121:S146" name="Sortering_6_1"/>
    <protectedRange sqref="Z12:Z67 Z69:Z215" name="Sortering_3"/>
  </protectedRanges>
  <autoFilter ref="A9:AF229" xr:uid="{00000000-0009-0000-0000-000002000000}">
    <sortState xmlns:xlrd2="http://schemas.microsoft.com/office/spreadsheetml/2017/richdata2" ref="A10:AF229">
      <sortCondition ref="A9:A229"/>
    </sortState>
  </autoFilter>
  <mergeCells count="5">
    <mergeCell ref="AD8:AF8"/>
    <mergeCell ref="G3:K3"/>
    <mergeCell ref="N3:S3"/>
    <mergeCell ref="U3:Z3"/>
    <mergeCell ref="AB4:AB8"/>
  </mergeCells>
  <phoneticPr fontId="22" type="noConversion"/>
  <conditionalFormatting sqref="J213:K222 J147:K149 J194:K196 J10:K11 J36:K38 J103:K105 J247:K250 J256:K261 J64:K66 J94:K96 J117:K119 J162:K164 J198:K198 J253:K254 J238:K238 J174:K175 J28:K34 J88:K88 K135:K136">
    <cfRule type="expression" dxfId="4156" priority="4687">
      <formula>$AD10=4</formula>
    </cfRule>
    <cfRule type="expression" dxfId="4155" priority="4688">
      <formula>$AD10=3</formula>
    </cfRule>
    <cfRule type="expression" dxfId="4154" priority="4689">
      <formula>$AD10=2</formula>
    </cfRule>
    <cfRule type="expression" dxfId="4153" priority="4690">
      <formula>$AD10=1</formula>
    </cfRule>
  </conditionalFormatting>
  <conditionalFormatting sqref="Q213:R222 Q148:R149 Q195:R196 Q10:R11 Q18:R21 Q28:R28 Q36:R38 Q104:R105 Q32:R32 Q247:R250 Q256:R261 Q65:R66 Q95:R96 Q118:R119 Q163:R164 Q198:R198 Q253:R254 Q238:R238 Q174:R175 Q88:R88">
    <cfRule type="expression" dxfId="4152" priority="4683">
      <formula>$AE10=4</formula>
    </cfRule>
    <cfRule type="expression" dxfId="4151" priority="4684">
      <formula>$AE10=3</formula>
    </cfRule>
    <cfRule type="expression" dxfId="4150" priority="4685">
      <formula>$AE10=2</formula>
    </cfRule>
    <cfRule type="expression" dxfId="4149" priority="4686">
      <formula>$AE10=1</formula>
    </cfRule>
  </conditionalFormatting>
  <conditionalFormatting sqref="X213:Y222 X147:Y149 X194:Y196 X10:Y11 X18:Y21 X28:Y28 X36:Y38 X103:Y105 X32:Y32 X247:Y250 X256:Y261 X64:Y66 X94:Y96 X117:Y119 X162:Y164 X198:Y198 X253:Y254 X238:Y238 X174:Y175 X88:Y88">
    <cfRule type="expression" dxfId="4148" priority="4679">
      <formula>$AF10=4</formula>
    </cfRule>
    <cfRule type="expression" dxfId="4147" priority="4680">
      <formula>$AF10=3</formula>
    </cfRule>
    <cfRule type="expression" dxfId="4146" priority="4681">
      <formula>$AF10=2</formula>
    </cfRule>
    <cfRule type="expression" dxfId="4145" priority="4682">
      <formula>$AF10=1</formula>
    </cfRule>
  </conditionalFormatting>
  <conditionalFormatting sqref="J211:K212">
    <cfRule type="expression" dxfId="4144" priority="4591">
      <formula>$AD211=4</formula>
    </cfRule>
    <cfRule type="expression" dxfId="4143" priority="4592">
      <formula>$AD211=3</formula>
    </cfRule>
    <cfRule type="expression" dxfId="4142" priority="4593">
      <formula>$AD211=2</formula>
    </cfRule>
    <cfRule type="expression" dxfId="4141" priority="4594">
      <formula>$AD211=1</formula>
    </cfRule>
  </conditionalFormatting>
  <conditionalFormatting sqref="Q212:R212">
    <cfRule type="expression" dxfId="4140" priority="4587">
      <formula>$AE212=4</formula>
    </cfRule>
    <cfRule type="expression" dxfId="4139" priority="4588">
      <formula>$AE212=3</formula>
    </cfRule>
    <cfRule type="expression" dxfId="4138" priority="4589">
      <formula>$AE212=2</formula>
    </cfRule>
    <cfRule type="expression" dxfId="4137" priority="4590">
      <formula>$AE212=1</formula>
    </cfRule>
  </conditionalFormatting>
  <conditionalFormatting sqref="X211:Y212">
    <cfRule type="expression" dxfId="4136" priority="4583">
      <formula>$AF211=4</formula>
    </cfRule>
    <cfRule type="expression" dxfId="4135" priority="4584">
      <formula>$AF211=3</formula>
    </cfRule>
    <cfRule type="expression" dxfId="4134" priority="4585">
      <formula>$AF211=2</formula>
    </cfRule>
    <cfRule type="expression" dxfId="4133" priority="4586">
      <formula>$AF211=1</formula>
    </cfRule>
  </conditionalFormatting>
  <conditionalFormatting sqref="J228:K229">
    <cfRule type="expression" dxfId="4132" priority="4579">
      <formula>$AD228=4</formula>
    </cfRule>
    <cfRule type="expression" dxfId="4131" priority="4580">
      <formula>$AD228=3</formula>
    </cfRule>
    <cfRule type="expression" dxfId="4130" priority="4581">
      <formula>$AD228=2</formula>
    </cfRule>
    <cfRule type="expression" dxfId="4129" priority="4582">
      <formula>$AD228=1</formula>
    </cfRule>
  </conditionalFormatting>
  <conditionalFormatting sqref="Q229:R229">
    <cfRule type="expression" dxfId="4128" priority="4575">
      <formula>$AE229=4</formula>
    </cfRule>
    <cfRule type="expression" dxfId="4127" priority="4576">
      <formula>$AE229=3</formula>
    </cfRule>
    <cfRule type="expression" dxfId="4126" priority="4577">
      <formula>$AE229=2</formula>
    </cfRule>
    <cfRule type="expression" dxfId="4125" priority="4578">
      <formula>$AE229=1</formula>
    </cfRule>
  </conditionalFormatting>
  <conditionalFormatting sqref="X228:Y229">
    <cfRule type="expression" dxfId="4124" priority="4571">
      <formula>$AF228=4</formula>
    </cfRule>
    <cfRule type="expression" dxfId="4123" priority="4572">
      <formula>$AF228=3</formula>
    </cfRule>
    <cfRule type="expression" dxfId="4122" priority="4573">
      <formula>$AF228=2</formula>
    </cfRule>
    <cfRule type="expression" dxfId="4121" priority="4574">
      <formula>$AF228=1</formula>
    </cfRule>
  </conditionalFormatting>
  <conditionalFormatting sqref="G147:L149 G194:L196 Z228 G228:L228 G10:L10 N10:S10 N37:O38 G36:L38 N104:O105 AZ143 G103:L105 H11:K11 N19:N20 L223:L226 U10:Y10 U104:V105 Z216:Z222 AZ10:AZ11 AZ18:AZ21 AZ247 G247:L247 U247:Z247 S247:S248 AZ28 N247:R249 K248:K249 G248:G249 U248:W249 AZ36:AZ47 AZ249:AZ250 AZ32 N250:S250 U250:Z250 G250:L250 AZ52:AZ67 AZ75:AZ86 AZ253:AZ254 N253:S254 U253:Z254 G253:L254 U256:W256 AZ100 AZ124 G256 AZ132:AZ136 AZ128 U148:V149 N148:O149 U257:Z260 G257:L260 AZ147:AZ151 AZ256:AZ261 U261:W261 G261 N256:S261 G22:G25 G29:G31 G33:G35 N36 G64:L66 U65:V66 N65:O66 U95:V96 N95:O96 G94:L96 N118:O119 G117:L119 U118:V119 G162:L164 N163:O164 U163:V164 N195:O196 U195:V196 G211:L222 U212:V213 N212:O213 G198:L198 N198:O198 U198:V198 N238:P238 U238:W238 G238 AZ202:AZ228 N64 N94 N103 N117 N147 N162 N194 N211 AZ138:AZ139 H28:I35 AZ88:AZ97 AZ102:AZ122 AZ156:AZ198 O174:O175 V174:V175 H174:L175 G227:I227 L16:L25 J28:L34 Z10:Z11 O28:O36 V21 V28 V32 U36:V38 V18 X48:Y51 X53:Y55 X57:Y58 X60:Y61 H42:I63 X76:Y78 X80:Y81 X83:Y84 J88:L88 G88 N88:O88 U88:V88 X90:Y91 X110:Y110 X112:Y114 H108:I116 X125:Y127 X129:Y131 K135:K136 X140:Y142 X157:Y157 X159:Y159 H152:I154 X169:Y171 H166:I166 X177:Y179 X181:Y183 X185:Y185 X187:Y188 X203:Y204 X206:Y207 H202:I210 N214:N228 V199 U64 U94 U103 U117 U147 U162 U194 U211 U214:U228 X133:Y137 H121:I138 G200:L201 N200:O201 U200:V201 X86:Y88 H68:I70 H98:I102 S216:S227 Q195:R210 Q163:R166 Q118:R138 Q95:R102 Q65:R93 Q148:R150 Q104:R106 Q11:R63 X174:Y175 X209:Y228 X190:Y201 X161:Y166 X116:Y123 X93:Y99 X63:Y74 X144:Y150 X102:Y106 X17:Y46 Q212:R227 X11:Y15 Q228:S228 H176:I193 H156:I161 Q156:R161 Q168:R193 R167 H72:I72 X108:Y108 Q108:R116 X152:Y154 Q152:R154 Q140:R146 H140:I146 H168:I173 H74:I93 H12:I25">
    <cfRule type="expression" dxfId="4120" priority="4570">
      <formula>$AC10=2</formula>
    </cfRule>
  </conditionalFormatting>
  <conditionalFormatting sqref="G147:G149 G194:G196 G228 G10 G36:G38 G103:G105 G258 G64:G66 G94:G96 G117:G119 G162:G164 G211:G222 G198">
    <cfRule type="expression" dxfId="4119" priority="4567">
      <formula>G10&gt;F10</formula>
    </cfRule>
  </conditionalFormatting>
  <conditionalFormatting sqref="N148:O149 N195:O196 N228 N10:P10 N19:N20 N37:O38 N104:O105 N258:P258 N36 N65:O66 N95:O96 N118:O119 N163:O164 N212:O213 N198 N214:N222 N64 N94 N103 N117 N147 N162 N194 N211">
    <cfRule type="expression" dxfId="4118" priority="4566">
      <formula>N10&gt;F10</formula>
    </cfRule>
  </conditionalFormatting>
  <conditionalFormatting sqref="U148:V149 U195:V196 U10:W10 U37:V38 U104:V105 U258:W258 U36 U65:V66 U95:V96 U118:V119 U163:V164 U212:V213 U198 U214:U222 U88">
    <cfRule type="expression" dxfId="4117" priority="4565">
      <formula>U10&gt;F10</formula>
    </cfRule>
  </conditionalFormatting>
  <conditionalFormatting sqref="N4:P4">
    <cfRule type="expression" dxfId="4116" priority="4559">
      <formula>$S$8="No"</formula>
    </cfRule>
  </conditionalFormatting>
  <conditionalFormatting sqref="U4:W4">
    <cfRule type="expression" dxfId="4115" priority="4558">
      <formula>$Z$8="No"</formula>
    </cfRule>
  </conditionalFormatting>
  <conditionalFormatting sqref="AB10:AB11 AB18:AB21 AB28 AB32 AB36:AB39 AB52:AB67 AB75:AB86 AB100 AB124 AB128 AB132:AB136 AB143 AB147:AB151 AB138:AB139 AB88:AB97 AB102:AB122 AB256:AB261 AB253:AB254 AB238 AB247:AB250 AB156:AB228 AB42:AB47">
    <cfRule type="expression" dxfId="4114" priority="4493">
      <formula>$AJ$4="Nei"</formula>
    </cfRule>
    <cfRule type="expression" dxfId="4113" priority="4494">
      <formula>$AC10=2</formula>
    </cfRule>
  </conditionalFormatting>
  <conditionalFormatting sqref="AB4">
    <cfRule type="expression" dxfId="4112" priority="4491">
      <formula>$AJ$4=ais_nei</formula>
    </cfRule>
  </conditionalFormatting>
  <conditionalFormatting sqref="O111">
    <cfRule type="expression" dxfId="4111" priority="2908">
      <formula>$AC111=2</formula>
    </cfRule>
  </conditionalFormatting>
  <conditionalFormatting sqref="J111:K111">
    <cfRule type="expression" dxfId="4110" priority="2910">
      <formula>$AC111=2</formula>
    </cfRule>
  </conditionalFormatting>
  <conditionalFormatting sqref="J223">
    <cfRule type="expression" dxfId="4109" priority="4365">
      <formula>$AD223=4</formula>
    </cfRule>
    <cfRule type="expression" dxfId="4108" priority="4366">
      <formula>$AD223=3</formula>
    </cfRule>
    <cfRule type="expression" dxfId="4107" priority="4367">
      <formula>$AD223=2</formula>
    </cfRule>
    <cfRule type="expression" dxfId="4106" priority="4368">
      <formula>$AD223=1</formula>
    </cfRule>
  </conditionalFormatting>
  <conditionalFormatting sqref="Q223:R223">
    <cfRule type="expression" dxfId="4105" priority="4361">
      <formula>$AE223=4</formula>
    </cfRule>
    <cfRule type="expression" dxfId="4104" priority="4362">
      <formula>$AE223=3</formula>
    </cfRule>
    <cfRule type="expression" dxfId="4103" priority="4363">
      <formula>$AE223=2</formula>
    </cfRule>
    <cfRule type="expression" dxfId="4102" priority="4364">
      <formula>$AE223=1</formula>
    </cfRule>
  </conditionalFormatting>
  <conditionalFormatting sqref="X223:Y223">
    <cfRule type="expression" dxfId="4101" priority="4357">
      <formula>$AF223=4</formula>
    </cfRule>
    <cfRule type="expression" dxfId="4100" priority="4358">
      <formula>$AF223=3</formula>
    </cfRule>
    <cfRule type="expression" dxfId="4099" priority="4359">
      <formula>$AF223=2</formula>
    </cfRule>
    <cfRule type="expression" dxfId="4098" priority="4360">
      <formula>$AF223=1</formula>
    </cfRule>
  </conditionalFormatting>
  <conditionalFormatting sqref="G223:J223">
    <cfRule type="expression" dxfId="4097" priority="4356">
      <formula>$AC223=2</formula>
    </cfRule>
  </conditionalFormatting>
  <conditionalFormatting sqref="G223">
    <cfRule type="expression" dxfId="4096" priority="4355">
      <formula>G223&gt;F223</formula>
    </cfRule>
  </conditionalFormatting>
  <conditionalFormatting sqref="N223">
    <cfRule type="expression" dxfId="4095" priority="4354">
      <formula>N223&gt;F223</formula>
    </cfRule>
  </conditionalFormatting>
  <conditionalFormatting sqref="U223">
    <cfRule type="expression" dxfId="4094" priority="4353">
      <formula>U223&gt;F223</formula>
    </cfRule>
  </conditionalFormatting>
  <conditionalFormatting sqref="J224">
    <cfRule type="expression" dxfId="4093" priority="4345">
      <formula>$AD224=4</formula>
    </cfRule>
    <cfRule type="expression" dxfId="4092" priority="4346">
      <formula>$AD224=3</formula>
    </cfRule>
    <cfRule type="expression" dxfId="4091" priority="4347">
      <formula>$AD224=2</formula>
    </cfRule>
    <cfRule type="expression" dxfId="4090" priority="4348">
      <formula>$AD224=1</formula>
    </cfRule>
  </conditionalFormatting>
  <conditionalFormatting sqref="Q224:R224">
    <cfRule type="expression" dxfId="4089" priority="4341">
      <formula>$AE224=4</formula>
    </cfRule>
    <cfRule type="expression" dxfId="4088" priority="4342">
      <formula>$AE224=3</formula>
    </cfRule>
    <cfRule type="expression" dxfId="4087" priority="4343">
      <formula>$AE224=2</formula>
    </cfRule>
    <cfRule type="expression" dxfId="4086" priority="4344">
      <formula>$AE224=1</formula>
    </cfRule>
  </conditionalFormatting>
  <conditionalFormatting sqref="X224:Y224">
    <cfRule type="expression" dxfId="4085" priority="4337">
      <formula>$AF224=4</formula>
    </cfRule>
    <cfRule type="expression" dxfId="4084" priority="4338">
      <formula>$AF224=3</formula>
    </cfRule>
    <cfRule type="expression" dxfId="4083" priority="4339">
      <formula>$AF224=2</formula>
    </cfRule>
    <cfRule type="expression" dxfId="4082" priority="4340">
      <formula>$AF224=1</formula>
    </cfRule>
  </conditionalFormatting>
  <conditionalFormatting sqref="G224:J224">
    <cfRule type="expression" dxfId="4081" priority="4336">
      <formula>$AC224=2</formula>
    </cfRule>
  </conditionalFormatting>
  <conditionalFormatting sqref="G224">
    <cfRule type="expression" dxfId="4080" priority="4335">
      <formula>G224&gt;F224</formula>
    </cfRule>
  </conditionalFormatting>
  <conditionalFormatting sqref="N224">
    <cfRule type="expression" dxfId="4079" priority="4334">
      <formula>N224&gt;F224</formula>
    </cfRule>
  </conditionalFormatting>
  <conditionalFormatting sqref="U224">
    <cfRule type="expression" dxfId="4078" priority="4333">
      <formula>U224&gt;F224</formula>
    </cfRule>
  </conditionalFormatting>
  <conditionalFormatting sqref="J225">
    <cfRule type="expression" dxfId="4077" priority="4325">
      <formula>$AD225=4</formula>
    </cfRule>
    <cfRule type="expression" dxfId="4076" priority="4326">
      <formula>$AD225=3</formula>
    </cfRule>
    <cfRule type="expression" dxfId="4075" priority="4327">
      <formula>$AD225=2</formula>
    </cfRule>
    <cfRule type="expression" dxfId="4074" priority="4328">
      <formula>$AD225=1</formula>
    </cfRule>
  </conditionalFormatting>
  <conditionalFormatting sqref="Q225:R225">
    <cfRule type="expression" dxfId="4073" priority="4321">
      <formula>$AE225=4</formula>
    </cfRule>
    <cfRule type="expression" dxfId="4072" priority="4322">
      <formula>$AE225=3</formula>
    </cfRule>
    <cfRule type="expression" dxfId="4071" priority="4323">
      <formula>$AE225=2</formula>
    </cfRule>
    <cfRule type="expression" dxfId="4070" priority="4324">
      <formula>$AE225=1</formula>
    </cfRule>
  </conditionalFormatting>
  <conditionalFormatting sqref="X225:Y225">
    <cfRule type="expression" dxfId="4069" priority="4317">
      <formula>$AF225=4</formula>
    </cfRule>
    <cfRule type="expression" dxfId="4068" priority="4318">
      <formula>$AF225=3</formula>
    </cfRule>
    <cfRule type="expression" dxfId="4067" priority="4319">
      <formula>$AF225=2</formula>
    </cfRule>
    <cfRule type="expression" dxfId="4066" priority="4320">
      <formula>$AF225=1</formula>
    </cfRule>
  </conditionalFormatting>
  <conditionalFormatting sqref="G225:J225">
    <cfRule type="expression" dxfId="4065" priority="4316">
      <formula>$AC225=2</formula>
    </cfRule>
  </conditionalFormatting>
  <conditionalFormatting sqref="G225">
    <cfRule type="expression" dxfId="4064" priority="4315">
      <formula>G225&gt;F225</formula>
    </cfRule>
  </conditionalFormatting>
  <conditionalFormatting sqref="N225">
    <cfRule type="expression" dxfId="4063" priority="4314">
      <formula>N225&gt;F225</formula>
    </cfRule>
  </conditionalFormatting>
  <conditionalFormatting sqref="U225">
    <cfRule type="expression" dxfId="4062" priority="4313">
      <formula>U225&gt;F225</formula>
    </cfRule>
  </conditionalFormatting>
  <conditionalFormatting sqref="J226">
    <cfRule type="expression" dxfId="4061" priority="4305">
      <formula>$AD226=4</formula>
    </cfRule>
    <cfRule type="expression" dxfId="4060" priority="4306">
      <formula>$AD226=3</formula>
    </cfRule>
    <cfRule type="expression" dxfId="4059" priority="4307">
      <formula>$AD226=2</formula>
    </cfRule>
    <cfRule type="expression" dxfId="4058" priority="4308">
      <formula>$AD226=1</formula>
    </cfRule>
  </conditionalFormatting>
  <conditionalFormatting sqref="Q226:R226">
    <cfRule type="expression" dxfId="4057" priority="4301">
      <formula>$AE226=4</formula>
    </cfRule>
    <cfRule type="expression" dxfId="4056" priority="4302">
      <formula>$AE226=3</formula>
    </cfRule>
    <cfRule type="expression" dxfId="4055" priority="4303">
      <formula>$AE226=2</formula>
    </cfRule>
    <cfRule type="expression" dxfId="4054" priority="4304">
      <formula>$AE226=1</formula>
    </cfRule>
  </conditionalFormatting>
  <conditionalFormatting sqref="X226:Y226">
    <cfRule type="expression" dxfId="4053" priority="4297">
      <formula>$AF226=4</formula>
    </cfRule>
    <cfRule type="expression" dxfId="4052" priority="4298">
      <formula>$AF226=3</formula>
    </cfRule>
    <cfRule type="expression" dxfId="4051" priority="4299">
      <formula>$AF226=2</formula>
    </cfRule>
    <cfRule type="expression" dxfId="4050" priority="4300">
      <formula>$AF226=1</formula>
    </cfRule>
  </conditionalFormatting>
  <conditionalFormatting sqref="G226:J226">
    <cfRule type="expression" dxfId="4049" priority="4296">
      <formula>$AC226=2</formula>
    </cfRule>
  </conditionalFormatting>
  <conditionalFormatting sqref="G226:G227">
    <cfRule type="expression" dxfId="4048" priority="4295">
      <formula>G226&gt;F226</formula>
    </cfRule>
  </conditionalFormatting>
  <conditionalFormatting sqref="N226">
    <cfRule type="expression" dxfId="4047" priority="4294">
      <formula>N226&gt;F226</formula>
    </cfRule>
  </conditionalFormatting>
  <conditionalFormatting sqref="U226">
    <cfRule type="expression" dxfId="4046" priority="4293">
      <formula>U226&gt;F226</formula>
    </cfRule>
  </conditionalFormatting>
  <conditionalFormatting sqref="G257">
    <cfRule type="expression" dxfId="4045" priority="4275">
      <formula>G257&gt;F257</formula>
    </cfRule>
  </conditionalFormatting>
  <conditionalFormatting sqref="N257:P257">
    <cfRule type="expression" dxfId="4044" priority="4274">
      <formula>N257&gt;F257</formula>
    </cfRule>
  </conditionalFormatting>
  <conditionalFormatting sqref="U257:W257">
    <cfRule type="expression" dxfId="4043" priority="4273">
      <formula>U257&gt;F257</formula>
    </cfRule>
  </conditionalFormatting>
  <conditionalFormatting sqref="G253">
    <cfRule type="expression" dxfId="4042" priority="4265">
      <formula>G253&gt;F253</formula>
    </cfRule>
  </conditionalFormatting>
  <conditionalFormatting sqref="X261:Y261">
    <cfRule type="expression" dxfId="4041" priority="4252">
      <formula>$AC150=2</formula>
    </cfRule>
  </conditionalFormatting>
  <conditionalFormatting sqref="G247">
    <cfRule type="expression" dxfId="4040" priority="4210">
      <formula>G247&gt;F247</formula>
    </cfRule>
  </conditionalFormatting>
  <conditionalFormatting sqref="N247:P247">
    <cfRule type="expression" dxfId="4039" priority="4193">
      <formula>N247&gt;F247</formula>
    </cfRule>
  </conditionalFormatting>
  <conditionalFormatting sqref="U247:W247">
    <cfRule type="expression" dxfId="4038" priority="4192">
      <formula>U247&gt;F247</formula>
    </cfRule>
  </conditionalFormatting>
  <conditionalFormatting sqref="N253:P253">
    <cfRule type="expression" dxfId="4037" priority="4182">
      <formula>N253&gt;F253</formula>
    </cfRule>
  </conditionalFormatting>
  <conditionalFormatting sqref="U253:W253">
    <cfRule type="expression" dxfId="4036" priority="4181">
      <formula>U253&gt;F253</formula>
    </cfRule>
  </conditionalFormatting>
  <conditionalFormatting sqref="AZ248 X248:Y248 L248 H248:J248">
    <cfRule type="expression" dxfId="4035" priority="4162">
      <formula>$AC21=2</formula>
    </cfRule>
  </conditionalFormatting>
  <conditionalFormatting sqref="G250">
    <cfRule type="expression" dxfId="4034" priority="4123">
      <formula>G250&gt;F250</formula>
    </cfRule>
  </conditionalFormatting>
  <conditionalFormatting sqref="N250:P250">
    <cfRule type="expression" dxfId="4033" priority="4117">
      <formula>N250&gt;F250</formula>
    </cfRule>
  </conditionalFormatting>
  <conditionalFormatting sqref="U250:W250">
    <cfRule type="expression" dxfId="4032" priority="4116">
      <formula>U250&gt;F250</formula>
    </cfRule>
  </conditionalFormatting>
  <conditionalFormatting sqref="G254">
    <cfRule type="expression" dxfId="4031" priority="4097">
      <formula>G254&gt;F254</formula>
    </cfRule>
  </conditionalFormatting>
  <conditionalFormatting sqref="N254:P254">
    <cfRule type="expression" dxfId="4030" priority="4091">
      <formula>N254&gt;F254</formula>
    </cfRule>
  </conditionalFormatting>
  <conditionalFormatting sqref="U254:W254">
    <cfRule type="expression" dxfId="4029" priority="4090">
      <formula>U254&gt;F254</formula>
    </cfRule>
  </conditionalFormatting>
  <conditionalFormatting sqref="H261:L261">
    <cfRule type="expression" dxfId="4028" priority="4071">
      <formula>$AC150=2</formula>
    </cfRule>
  </conditionalFormatting>
  <conditionalFormatting sqref="H256:L256 X256:Y256">
    <cfRule type="expression" dxfId="4027" priority="4036">
      <formula>$AC120=2</formula>
    </cfRule>
  </conditionalFormatting>
  <conditionalFormatting sqref="G259">
    <cfRule type="expression" dxfId="4026" priority="4006">
      <formula>G259&gt;F259</formula>
    </cfRule>
  </conditionalFormatting>
  <conditionalFormatting sqref="N259:P259">
    <cfRule type="expression" dxfId="4025" priority="4005">
      <formula>N259&gt;F259</formula>
    </cfRule>
  </conditionalFormatting>
  <conditionalFormatting sqref="U259:W259">
    <cfRule type="expression" dxfId="4024" priority="4004">
      <formula>U259&gt;F259</formula>
    </cfRule>
  </conditionalFormatting>
  <conditionalFormatting sqref="G260">
    <cfRule type="expression" dxfId="4023" priority="3984">
      <formula>G260&gt;F260</formula>
    </cfRule>
  </conditionalFormatting>
  <conditionalFormatting sqref="N260:P260">
    <cfRule type="expression" dxfId="4022" priority="3983">
      <formula>N260&gt;F260</formula>
    </cfRule>
  </conditionalFormatting>
  <conditionalFormatting sqref="U260:W260">
    <cfRule type="expression" dxfId="4021" priority="3982">
      <formula>U260&gt;F260</formula>
    </cfRule>
  </conditionalFormatting>
  <conditionalFormatting sqref="O60:O61">
    <cfRule type="expression" dxfId="4020" priority="2349">
      <formula>$AC60=2</formula>
    </cfRule>
  </conditionalFormatting>
  <conditionalFormatting sqref="U53:U55">
    <cfRule type="expression" dxfId="4019" priority="2405">
      <formula>$AC53=2</formula>
    </cfRule>
  </conditionalFormatting>
  <conditionalFormatting sqref="K223">
    <cfRule type="expression" dxfId="4018" priority="3919">
      <formula>$AD223=4</formula>
    </cfRule>
    <cfRule type="expression" dxfId="4017" priority="3920">
      <formula>$AD223=3</formula>
    </cfRule>
    <cfRule type="expression" dxfId="4016" priority="3921">
      <formula>$AD223=2</formula>
    </cfRule>
    <cfRule type="expression" dxfId="4015" priority="3922">
      <formula>$AD223=1</formula>
    </cfRule>
  </conditionalFormatting>
  <conditionalFormatting sqref="K223">
    <cfRule type="expression" dxfId="4014" priority="3918">
      <formula>$AC223=2</formula>
    </cfRule>
  </conditionalFormatting>
  <conditionalFormatting sqref="K224">
    <cfRule type="expression" dxfId="4013" priority="3914">
      <formula>$AD224=4</formula>
    </cfRule>
    <cfRule type="expression" dxfId="4012" priority="3915">
      <formula>$AD224=3</formula>
    </cfRule>
    <cfRule type="expression" dxfId="4011" priority="3916">
      <formula>$AD224=2</formula>
    </cfRule>
    <cfRule type="expression" dxfId="4010" priority="3917">
      <formula>$AD224=1</formula>
    </cfRule>
  </conditionalFormatting>
  <conditionalFormatting sqref="K224">
    <cfRule type="expression" dxfId="4009" priority="3913">
      <formula>$AC224=2</formula>
    </cfRule>
  </conditionalFormatting>
  <conditionalFormatting sqref="K225">
    <cfRule type="expression" dxfId="4008" priority="3909">
      <formula>$AD225=4</formula>
    </cfRule>
    <cfRule type="expression" dxfId="4007" priority="3910">
      <formula>$AD225=3</formula>
    </cfRule>
    <cfRule type="expression" dxfId="4006" priority="3911">
      <formula>$AD225=2</formula>
    </cfRule>
    <cfRule type="expression" dxfId="4005" priority="3912">
      <formula>$AD225=1</formula>
    </cfRule>
  </conditionalFormatting>
  <conditionalFormatting sqref="K225">
    <cfRule type="expression" dxfId="4004" priority="3908">
      <formula>$AC225=2</formula>
    </cfRule>
  </conditionalFormatting>
  <conditionalFormatting sqref="K226">
    <cfRule type="expression" dxfId="4003" priority="3904">
      <formula>$AD226=4</formula>
    </cfRule>
    <cfRule type="expression" dxfId="4002" priority="3905">
      <formula>$AD226=3</formula>
    </cfRule>
    <cfRule type="expression" dxfId="4001" priority="3906">
      <formula>$AD226=2</formula>
    </cfRule>
    <cfRule type="expression" dxfId="4000" priority="3907">
      <formula>$AD226=1</formula>
    </cfRule>
  </conditionalFormatting>
  <conditionalFormatting sqref="K226">
    <cfRule type="expression" dxfId="3999" priority="3903">
      <formula>$AC226=2</formula>
    </cfRule>
  </conditionalFormatting>
  <conditionalFormatting sqref="L60:L61">
    <cfRule type="expression" dxfId="3998" priority="2352">
      <formula>$AC60=2</formula>
    </cfRule>
  </conditionalFormatting>
  <conditionalFormatting sqref="L12:L14">
    <cfRule type="expression" dxfId="3997" priority="3723">
      <formula>$AC12=2</formula>
    </cfRule>
  </conditionalFormatting>
  <conditionalFormatting sqref="Z223">
    <cfRule type="expression" dxfId="3996" priority="3895">
      <formula>$AC223=2</formula>
    </cfRule>
  </conditionalFormatting>
  <conditionalFormatting sqref="Z224">
    <cfRule type="expression" dxfId="3995" priority="3894">
      <formula>$AC224=2</formula>
    </cfRule>
  </conditionalFormatting>
  <conditionalFormatting sqref="Z225">
    <cfRule type="expression" dxfId="3994" priority="3893">
      <formula>$AC225=2</formula>
    </cfRule>
  </conditionalFormatting>
  <conditionalFormatting sqref="Z226">
    <cfRule type="expression" dxfId="3993" priority="3892">
      <formula>$AC226=2</formula>
    </cfRule>
  </conditionalFormatting>
  <conditionalFormatting sqref="H238:L238 Q238:S238 X238:Z238 AZ238">
    <cfRule type="expression" dxfId="3992" priority="3890">
      <formula>$AC47=2</formula>
    </cfRule>
  </conditionalFormatting>
  <conditionalFormatting sqref="Z248">
    <cfRule type="expression" dxfId="3991" priority="3888">
      <formula>$AC21=2</formula>
    </cfRule>
  </conditionalFormatting>
  <conditionalFormatting sqref="Z261">
    <cfRule type="expression" dxfId="3990" priority="3885">
      <formula>$AC150=2</formula>
    </cfRule>
  </conditionalFormatting>
  <conditionalFormatting sqref="Z256">
    <cfRule type="expression" dxfId="3989" priority="3884">
      <formula>$AC120=2</formula>
    </cfRule>
  </conditionalFormatting>
  <conditionalFormatting sqref="L11">
    <cfRule type="expression" dxfId="3988" priority="3809">
      <formula>$AC11=2</formula>
    </cfRule>
  </conditionalFormatting>
  <conditionalFormatting sqref="S11">
    <cfRule type="expression" dxfId="3987" priority="3807">
      <formula>$AC11=2</formula>
    </cfRule>
  </conditionalFormatting>
  <conditionalFormatting sqref="X124:Y124">
    <cfRule type="expression" dxfId="3986" priority="2876">
      <formula>$AC124=2</formula>
    </cfRule>
  </conditionalFormatting>
  <conditionalFormatting sqref="H249:J249 L249">
    <cfRule type="expression" dxfId="3985" priority="3780">
      <formula>$AC28=2</formula>
    </cfRule>
  </conditionalFormatting>
  <conditionalFormatting sqref="X249:Y249">
    <cfRule type="expression" dxfId="3984" priority="3754">
      <formula>$AC28=2</formula>
    </cfRule>
  </conditionalFormatting>
  <conditionalFormatting sqref="S249">
    <cfRule type="expression" dxfId="3983" priority="3740">
      <formula>$AC28=2</formula>
    </cfRule>
  </conditionalFormatting>
  <conditionalFormatting sqref="Z249">
    <cfRule type="expression" dxfId="3982" priority="3739">
      <formula>$AC28=2</formula>
    </cfRule>
  </conditionalFormatting>
  <conditionalFormatting sqref="G12:G13 G15:G17">
    <cfRule type="expression" dxfId="3981" priority="3713">
      <formula>G12&gt;F12</formula>
    </cfRule>
  </conditionalFormatting>
  <conditionalFormatting sqref="G19:G20 G22:G25 G29:G31 G33:G35">
    <cfRule type="expression" dxfId="3980" priority="3711">
      <formula>G19&gt;F19</formula>
    </cfRule>
  </conditionalFormatting>
  <conditionalFormatting sqref="J12:K25">
    <cfRule type="expression" dxfId="3979" priority="3725">
      <formula>$AD12=4</formula>
    </cfRule>
    <cfRule type="expression" dxfId="3978" priority="3726">
      <formula>$AD12=3</formula>
    </cfRule>
    <cfRule type="expression" dxfId="3977" priority="3727">
      <formula>$AD12=2</formula>
    </cfRule>
    <cfRule type="expression" dxfId="3976" priority="3728">
      <formula>$AD12=1</formula>
    </cfRule>
  </conditionalFormatting>
  <conditionalFormatting sqref="J12:K25">
    <cfRule type="expression" dxfId="3975" priority="3724">
      <formula>$AC12=2</formula>
    </cfRule>
  </conditionalFormatting>
  <conditionalFormatting sqref="J35:K35">
    <cfRule type="expression" dxfId="3974" priority="3719">
      <formula>$AD35=4</formula>
    </cfRule>
    <cfRule type="expression" dxfId="3973" priority="3720">
      <formula>$AD35=3</formula>
    </cfRule>
    <cfRule type="expression" dxfId="3972" priority="3721">
      <formula>$AD35=2</formula>
    </cfRule>
    <cfRule type="expression" dxfId="3971" priority="3722">
      <formula>$AD35=1</formula>
    </cfRule>
  </conditionalFormatting>
  <conditionalFormatting sqref="J35:K35">
    <cfRule type="expression" dxfId="3970" priority="3718">
      <formula>$AC35=2</formula>
    </cfRule>
  </conditionalFormatting>
  <conditionalFormatting sqref="L35">
    <cfRule type="expression" dxfId="3969" priority="3717">
      <formula>$AC35=2</formula>
    </cfRule>
  </conditionalFormatting>
  <conditionalFormatting sqref="G12:G13 G15:G17">
    <cfRule type="expression" dxfId="3968" priority="3714">
      <formula>$AC12=2</formula>
    </cfRule>
  </conditionalFormatting>
  <conditionalFormatting sqref="G19:G20">
    <cfRule type="expression" dxfId="3967" priority="3712">
      <formula>$AC19=2</formula>
    </cfRule>
  </conditionalFormatting>
  <conditionalFormatting sqref="Q17:R17">
    <cfRule type="expression" dxfId="3966" priority="3707">
      <formula>$AE17=4</formula>
    </cfRule>
    <cfRule type="expression" dxfId="3965" priority="3708">
      <formula>$AE17=3</formula>
    </cfRule>
    <cfRule type="expression" dxfId="3964" priority="3709">
      <formula>$AE17=2</formula>
    </cfRule>
    <cfRule type="expression" dxfId="3963" priority="3710">
      <formula>$AE17=1</formula>
    </cfRule>
  </conditionalFormatting>
  <conditionalFormatting sqref="X17:Y17">
    <cfRule type="expression" dxfId="3962" priority="3703">
      <formula>$AF17=4</formula>
    </cfRule>
    <cfRule type="expression" dxfId="3961" priority="3704">
      <formula>$AF17=3</formula>
    </cfRule>
    <cfRule type="expression" dxfId="3960" priority="3705">
      <formula>$AF17=2</formula>
    </cfRule>
    <cfRule type="expression" dxfId="3959" priority="3706">
      <formula>$AF17=1</formula>
    </cfRule>
  </conditionalFormatting>
  <conditionalFormatting sqref="N17">
    <cfRule type="expression" dxfId="3958" priority="3702">
      <formula>$AC17=2</formula>
    </cfRule>
  </conditionalFormatting>
  <conditionalFormatting sqref="N17">
    <cfRule type="expression" dxfId="3957" priority="3701">
      <formula>N17&gt;F17</formula>
    </cfRule>
  </conditionalFormatting>
  <conditionalFormatting sqref="Q16:R16">
    <cfRule type="expression" dxfId="3956" priority="3691">
      <formula>$AE16=4</formula>
    </cfRule>
    <cfRule type="expression" dxfId="3955" priority="3692">
      <formula>$AE16=3</formula>
    </cfRule>
    <cfRule type="expression" dxfId="3954" priority="3693">
      <formula>$AE16=2</formula>
    </cfRule>
    <cfRule type="expression" dxfId="3953" priority="3694">
      <formula>$AE16=1</formula>
    </cfRule>
  </conditionalFormatting>
  <conditionalFormatting sqref="N16">
    <cfRule type="expression" dxfId="3952" priority="3686">
      <formula>$AC16=2</formula>
    </cfRule>
  </conditionalFormatting>
  <conditionalFormatting sqref="N16">
    <cfRule type="expression" dxfId="3951" priority="3685">
      <formula>N16&gt;F16</formula>
    </cfRule>
  </conditionalFormatting>
  <conditionalFormatting sqref="Q15:R15">
    <cfRule type="expression" dxfId="3950" priority="3675">
      <formula>$AE15=4</formula>
    </cfRule>
    <cfRule type="expression" dxfId="3949" priority="3676">
      <formula>$AE15=3</formula>
    </cfRule>
    <cfRule type="expression" dxfId="3948" priority="3677">
      <formula>$AE15=2</formula>
    </cfRule>
    <cfRule type="expression" dxfId="3947" priority="3678">
      <formula>$AE15=1</formula>
    </cfRule>
  </conditionalFormatting>
  <conditionalFormatting sqref="X15:Y15">
    <cfRule type="expression" dxfId="3946" priority="3671">
      <formula>$AF15=4</formula>
    </cfRule>
    <cfRule type="expression" dxfId="3945" priority="3672">
      <formula>$AF15=3</formula>
    </cfRule>
    <cfRule type="expression" dxfId="3944" priority="3673">
      <formula>$AF15=2</formula>
    </cfRule>
    <cfRule type="expression" dxfId="3943" priority="3674">
      <formula>$AF15=1</formula>
    </cfRule>
  </conditionalFormatting>
  <conditionalFormatting sqref="N15">
    <cfRule type="expression" dxfId="3942" priority="3670">
      <formula>$AC15=2</formula>
    </cfRule>
  </conditionalFormatting>
  <conditionalFormatting sqref="N15">
    <cfRule type="expression" dxfId="3941" priority="3669">
      <formula>N15&gt;F15</formula>
    </cfRule>
  </conditionalFormatting>
  <conditionalFormatting sqref="Q13:R14">
    <cfRule type="expression" dxfId="3940" priority="3659">
      <formula>$AE13=4</formula>
    </cfRule>
    <cfRule type="expression" dxfId="3939" priority="3660">
      <formula>$AE13=3</formula>
    </cfRule>
    <cfRule type="expression" dxfId="3938" priority="3661">
      <formula>$AE13=2</formula>
    </cfRule>
    <cfRule type="expression" dxfId="3937" priority="3662">
      <formula>$AE13=1</formula>
    </cfRule>
  </conditionalFormatting>
  <conditionalFormatting sqref="X13:Y14">
    <cfRule type="expression" dxfId="3936" priority="3655">
      <formula>$AF13=4</formula>
    </cfRule>
    <cfRule type="expression" dxfId="3935" priority="3656">
      <formula>$AF13=3</formula>
    </cfRule>
    <cfRule type="expression" dxfId="3934" priority="3657">
      <formula>$AF13=2</formula>
    </cfRule>
    <cfRule type="expression" dxfId="3933" priority="3658">
      <formula>$AF13=1</formula>
    </cfRule>
  </conditionalFormatting>
  <conditionalFormatting sqref="N13:N14">
    <cfRule type="expression" dxfId="3932" priority="3654">
      <formula>$AC13=2</formula>
    </cfRule>
  </conditionalFormatting>
  <conditionalFormatting sqref="N13:N14">
    <cfRule type="expression" dxfId="3931" priority="3653">
      <formula>N13&gt;F13</formula>
    </cfRule>
  </conditionalFormatting>
  <conditionalFormatting sqref="Q12:R12">
    <cfRule type="expression" dxfId="3930" priority="3643">
      <formula>$AE12=4</formula>
    </cfRule>
    <cfRule type="expression" dxfId="3929" priority="3644">
      <formula>$AE12=3</formula>
    </cfRule>
    <cfRule type="expression" dxfId="3928" priority="3645">
      <formula>$AE12=2</formula>
    </cfRule>
    <cfRule type="expression" dxfId="3927" priority="3646">
      <formula>$AE12=1</formula>
    </cfRule>
  </conditionalFormatting>
  <conditionalFormatting sqref="X12:Y12">
    <cfRule type="expression" dxfId="3926" priority="3639">
      <formula>$AF12=4</formula>
    </cfRule>
    <cfRule type="expression" dxfId="3925" priority="3640">
      <formula>$AF12=3</formula>
    </cfRule>
    <cfRule type="expression" dxfId="3924" priority="3641">
      <formula>$AF12=2</formula>
    </cfRule>
    <cfRule type="expression" dxfId="3923" priority="3642">
      <formula>$AF12=1</formula>
    </cfRule>
  </conditionalFormatting>
  <conditionalFormatting sqref="N12">
    <cfRule type="expression" dxfId="3922" priority="3638">
      <formula>$AC12=2</formula>
    </cfRule>
  </conditionalFormatting>
  <conditionalFormatting sqref="N12">
    <cfRule type="expression" dxfId="3921" priority="3637">
      <formula>N12&gt;F12</formula>
    </cfRule>
  </conditionalFormatting>
  <conditionalFormatting sqref="Q22:R22">
    <cfRule type="expression" dxfId="3920" priority="3627">
      <formula>$AE22=4</formula>
    </cfRule>
    <cfRule type="expression" dxfId="3919" priority="3628">
      <formula>$AE22=3</formula>
    </cfRule>
    <cfRule type="expression" dxfId="3918" priority="3629">
      <formula>$AE22=2</formula>
    </cfRule>
    <cfRule type="expression" dxfId="3917" priority="3630">
      <formula>$AE22=1</formula>
    </cfRule>
  </conditionalFormatting>
  <conditionalFormatting sqref="X22:Y22">
    <cfRule type="expression" dxfId="3916" priority="3623">
      <formula>$AF22=4</formula>
    </cfRule>
    <cfRule type="expression" dxfId="3915" priority="3624">
      <formula>$AF22=3</formula>
    </cfRule>
    <cfRule type="expression" dxfId="3914" priority="3625">
      <formula>$AF22=2</formula>
    </cfRule>
    <cfRule type="expression" dxfId="3913" priority="3626">
      <formula>$AF22=1</formula>
    </cfRule>
  </conditionalFormatting>
  <conditionalFormatting sqref="N22">
    <cfRule type="expression" dxfId="3912" priority="3622">
      <formula>$AC22=2</formula>
    </cfRule>
  </conditionalFormatting>
  <conditionalFormatting sqref="N22">
    <cfRule type="expression" dxfId="3911" priority="3621">
      <formula>N22&gt;F22</formula>
    </cfRule>
  </conditionalFormatting>
  <conditionalFormatting sqref="Q23:R23">
    <cfRule type="expression" dxfId="3910" priority="3611">
      <formula>$AE23=4</formula>
    </cfRule>
    <cfRule type="expression" dxfId="3909" priority="3612">
      <formula>$AE23=3</formula>
    </cfRule>
    <cfRule type="expression" dxfId="3908" priority="3613">
      <formula>$AE23=2</formula>
    </cfRule>
    <cfRule type="expression" dxfId="3907" priority="3614">
      <formula>$AE23=1</formula>
    </cfRule>
  </conditionalFormatting>
  <conditionalFormatting sqref="X23:Y23">
    <cfRule type="expression" dxfId="3906" priority="3607">
      <formula>$AF23=4</formula>
    </cfRule>
    <cfRule type="expression" dxfId="3905" priority="3608">
      <formula>$AF23=3</formula>
    </cfRule>
    <cfRule type="expression" dxfId="3904" priority="3609">
      <formula>$AF23=2</formula>
    </cfRule>
    <cfRule type="expression" dxfId="3903" priority="3610">
      <formula>$AF23=1</formula>
    </cfRule>
  </conditionalFormatting>
  <conditionalFormatting sqref="N23">
    <cfRule type="expression" dxfId="3902" priority="3606">
      <formula>$AC23=2</formula>
    </cfRule>
  </conditionalFormatting>
  <conditionalFormatting sqref="N23">
    <cfRule type="expression" dxfId="3901" priority="3605">
      <formula>N23&gt;F23</formula>
    </cfRule>
  </conditionalFormatting>
  <conditionalFormatting sqref="Q24:R24">
    <cfRule type="expression" dxfId="3900" priority="3595">
      <formula>$AE24=4</formula>
    </cfRule>
    <cfRule type="expression" dxfId="3899" priority="3596">
      <formula>$AE24=3</formula>
    </cfRule>
    <cfRule type="expression" dxfId="3898" priority="3597">
      <formula>$AE24=2</formula>
    </cfRule>
    <cfRule type="expression" dxfId="3897" priority="3598">
      <formula>$AE24=1</formula>
    </cfRule>
  </conditionalFormatting>
  <conditionalFormatting sqref="X24:Y24">
    <cfRule type="expression" dxfId="3896" priority="3591">
      <formula>$AF24=4</formula>
    </cfRule>
    <cfRule type="expression" dxfId="3895" priority="3592">
      <formula>$AF24=3</formula>
    </cfRule>
    <cfRule type="expression" dxfId="3894" priority="3593">
      <formula>$AF24=2</formula>
    </cfRule>
    <cfRule type="expression" dxfId="3893" priority="3594">
      <formula>$AF24=1</formula>
    </cfRule>
  </conditionalFormatting>
  <conditionalFormatting sqref="N24">
    <cfRule type="expression" dxfId="3892" priority="3590">
      <formula>$AC24=2</formula>
    </cfRule>
  </conditionalFormatting>
  <conditionalFormatting sqref="N24">
    <cfRule type="expression" dxfId="3891" priority="3589">
      <formula>N24&gt;F24</formula>
    </cfRule>
  </conditionalFormatting>
  <conditionalFormatting sqref="Q25:R25">
    <cfRule type="expression" dxfId="3890" priority="3579">
      <formula>$AE25=4</formula>
    </cfRule>
    <cfRule type="expression" dxfId="3889" priority="3580">
      <formula>$AE25=3</formula>
    </cfRule>
    <cfRule type="expression" dxfId="3888" priority="3581">
      <formula>$AE25=2</formula>
    </cfRule>
    <cfRule type="expression" dxfId="3887" priority="3582">
      <formula>$AE25=1</formula>
    </cfRule>
  </conditionalFormatting>
  <conditionalFormatting sqref="X25:Y25">
    <cfRule type="expression" dxfId="3886" priority="3575">
      <formula>$AF25=4</formula>
    </cfRule>
    <cfRule type="expression" dxfId="3885" priority="3576">
      <formula>$AF25=3</formula>
    </cfRule>
    <cfRule type="expression" dxfId="3884" priority="3577">
      <formula>$AF25=2</formula>
    </cfRule>
    <cfRule type="expression" dxfId="3883" priority="3578">
      <formula>$AF25=1</formula>
    </cfRule>
  </conditionalFormatting>
  <conditionalFormatting sqref="N25">
    <cfRule type="expression" dxfId="3882" priority="3574">
      <formula>$AC25=2</formula>
    </cfRule>
  </conditionalFormatting>
  <conditionalFormatting sqref="N25">
    <cfRule type="expression" dxfId="3881" priority="3573">
      <formula>N25&gt;F25</formula>
    </cfRule>
  </conditionalFormatting>
  <conditionalFormatting sqref="Q29:R29">
    <cfRule type="expression" dxfId="3880" priority="3563">
      <formula>$AE29=4</formula>
    </cfRule>
    <cfRule type="expression" dxfId="3879" priority="3564">
      <formula>$AE29=3</formula>
    </cfRule>
    <cfRule type="expression" dxfId="3878" priority="3565">
      <formula>$AE29=2</formula>
    </cfRule>
    <cfRule type="expression" dxfId="3877" priority="3566">
      <formula>$AE29=1</formula>
    </cfRule>
  </conditionalFormatting>
  <conditionalFormatting sqref="X29:Y29">
    <cfRule type="expression" dxfId="3876" priority="3559">
      <formula>$AF29=4</formula>
    </cfRule>
    <cfRule type="expression" dxfId="3875" priority="3560">
      <formula>$AF29=3</formula>
    </cfRule>
    <cfRule type="expression" dxfId="3874" priority="3561">
      <formula>$AF29=2</formula>
    </cfRule>
    <cfRule type="expression" dxfId="3873" priority="3562">
      <formula>$AF29=1</formula>
    </cfRule>
  </conditionalFormatting>
  <conditionalFormatting sqref="N29">
    <cfRule type="expression" dxfId="3872" priority="3558">
      <formula>$AC29=2</formula>
    </cfRule>
  </conditionalFormatting>
  <conditionalFormatting sqref="N29">
    <cfRule type="expression" dxfId="3871" priority="3557">
      <formula>N29&gt;F29</formula>
    </cfRule>
  </conditionalFormatting>
  <conditionalFormatting sqref="Q30:R30">
    <cfRule type="expression" dxfId="3870" priority="3547">
      <formula>$AE30=4</formula>
    </cfRule>
    <cfRule type="expression" dxfId="3869" priority="3548">
      <formula>$AE30=3</formula>
    </cfRule>
    <cfRule type="expression" dxfId="3868" priority="3549">
      <formula>$AE30=2</formula>
    </cfRule>
    <cfRule type="expression" dxfId="3867" priority="3550">
      <formula>$AE30=1</formula>
    </cfRule>
  </conditionalFormatting>
  <conditionalFormatting sqref="X30:Y30">
    <cfRule type="expression" dxfId="3866" priority="3543">
      <formula>$AF30=4</formula>
    </cfRule>
    <cfRule type="expression" dxfId="3865" priority="3544">
      <formula>$AF30=3</formula>
    </cfRule>
    <cfRule type="expression" dxfId="3864" priority="3545">
      <formula>$AF30=2</formula>
    </cfRule>
    <cfRule type="expression" dxfId="3863" priority="3546">
      <formula>$AF30=1</formula>
    </cfRule>
  </conditionalFormatting>
  <conditionalFormatting sqref="N30">
    <cfRule type="expression" dxfId="3862" priority="3542">
      <formula>$AC30=2</formula>
    </cfRule>
  </conditionalFormatting>
  <conditionalFormatting sqref="N30">
    <cfRule type="expression" dxfId="3861" priority="3541">
      <formula>N30&gt;F30</formula>
    </cfRule>
  </conditionalFormatting>
  <conditionalFormatting sqref="Q31:R31">
    <cfRule type="expression" dxfId="3860" priority="3531">
      <formula>$AE31=4</formula>
    </cfRule>
    <cfRule type="expression" dxfId="3859" priority="3532">
      <formula>$AE31=3</formula>
    </cfRule>
    <cfRule type="expression" dxfId="3858" priority="3533">
      <formula>$AE31=2</formula>
    </cfRule>
    <cfRule type="expression" dxfId="3857" priority="3534">
      <formula>$AE31=1</formula>
    </cfRule>
  </conditionalFormatting>
  <conditionalFormatting sqref="X31:Y31">
    <cfRule type="expression" dxfId="3856" priority="3527">
      <formula>$AF31=4</formula>
    </cfRule>
    <cfRule type="expression" dxfId="3855" priority="3528">
      <formula>$AF31=3</formula>
    </cfRule>
    <cfRule type="expression" dxfId="3854" priority="3529">
      <formula>$AF31=2</formula>
    </cfRule>
    <cfRule type="expression" dxfId="3853" priority="3530">
      <formula>$AF31=1</formula>
    </cfRule>
  </conditionalFormatting>
  <conditionalFormatting sqref="N31">
    <cfRule type="expression" dxfId="3852" priority="3526">
      <formula>$AC31=2</formula>
    </cfRule>
  </conditionalFormatting>
  <conditionalFormatting sqref="N31">
    <cfRule type="expression" dxfId="3851" priority="3525">
      <formula>N31&gt;F31</formula>
    </cfRule>
  </conditionalFormatting>
  <conditionalFormatting sqref="Q33:R33">
    <cfRule type="expression" dxfId="3850" priority="3515">
      <formula>$AE33=4</formula>
    </cfRule>
    <cfRule type="expression" dxfId="3849" priority="3516">
      <formula>$AE33=3</formula>
    </cfRule>
    <cfRule type="expression" dxfId="3848" priority="3517">
      <formula>$AE33=2</formula>
    </cfRule>
    <cfRule type="expression" dxfId="3847" priority="3518">
      <formula>$AE33=1</formula>
    </cfRule>
  </conditionalFormatting>
  <conditionalFormatting sqref="X33:Y33">
    <cfRule type="expression" dxfId="3846" priority="3511">
      <formula>$AF33=4</formula>
    </cfRule>
    <cfRule type="expression" dxfId="3845" priority="3512">
      <formula>$AF33=3</formula>
    </cfRule>
    <cfRule type="expression" dxfId="3844" priority="3513">
      <formula>$AF33=2</formula>
    </cfRule>
    <cfRule type="expression" dxfId="3843" priority="3514">
      <formula>$AF33=1</formula>
    </cfRule>
  </conditionalFormatting>
  <conditionalFormatting sqref="N33">
    <cfRule type="expression" dxfId="3842" priority="3510">
      <formula>$AC33=2</formula>
    </cfRule>
  </conditionalFormatting>
  <conditionalFormatting sqref="N33">
    <cfRule type="expression" dxfId="3841" priority="3509">
      <formula>N33&gt;F33</formula>
    </cfRule>
  </conditionalFormatting>
  <conditionalFormatting sqref="Q34:R34">
    <cfRule type="expression" dxfId="3840" priority="3499">
      <formula>$AE34=4</formula>
    </cfRule>
    <cfRule type="expression" dxfId="3839" priority="3500">
      <formula>$AE34=3</formula>
    </cfRule>
    <cfRule type="expression" dxfId="3838" priority="3501">
      <formula>$AE34=2</formula>
    </cfRule>
    <cfRule type="expression" dxfId="3837" priority="3502">
      <formula>$AE34=1</formula>
    </cfRule>
  </conditionalFormatting>
  <conditionalFormatting sqref="X34:Y34">
    <cfRule type="expression" dxfId="3836" priority="3495">
      <formula>$AF34=4</formula>
    </cfRule>
    <cfRule type="expression" dxfId="3835" priority="3496">
      <formula>$AF34=3</formula>
    </cfRule>
    <cfRule type="expression" dxfId="3834" priority="3497">
      <formula>$AF34=2</formula>
    </cfRule>
    <cfRule type="expression" dxfId="3833" priority="3498">
      <formula>$AF34=1</formula>
    </cfRule>
  </conditionalFormatting>
  <conditionalFormatting sqref="N34">
    <cfRule type="expression" dxfId="3832" priority="3494">
      <formula>$AC34=2</formula>
    </cfRule>
  </conditionalFormatting>
  <conditionalFormatting sqref="N34">
    <cfRule type="expression" dxfId="3831" priority="3493">
      <formula>N34&gt;F34</formula>
    </cfRule>
  </conditionalFormatting>
  <conditionalFormatting sqref="Q35:R35">
    <cfRule type="expression" dxfId="3830" priority="3483">
      <formula>$AE35=4</formula>
    </cfRule>
    <cfRule type="expression" dxfId="3829" priority="3484">
      <formula>$AE35=3</formula>
    </cfRule>
    <cfRule type="expression" dxfId="3828" priority="3485">
      <formula>$AE35=2</formula>
    </cfRule>
    <cfRule type="expression" dxfId="3827" priority="3486">
      <formula>$AE35=1</formula>
    </cfRule>
  </conditionalFormatting>
  <conditionalFormatting sqref="X35:Y35">
    <cfRule type="expression" dxfId="3826" priority="3479">
      <formula>$AF35=4</formula>
    </cfRule>
    <cfRule type="expression" dxfId="3825" priority="3480">
      <formula>$AF35=3</formula>
    </cfRule>
    <cfRule type="expression" dxfId="3824" priority="3481">
      <formula>$AF35=2</formula>
    </cfRule>
    <cfRule type="expression" dxfId="3823" priority="3482">
      <formula>$AF35=1</formula>
    </cfRule>
  </conditionalFormatting>
  <conditionalFormatting sqref="N35">
    <cfRule type="expression" dxfId="3822" priority="3478">
      <formula>$AC35=2</formula>
    </cfRule>
  </conditionalFormatting>
  <conditionalFormatting sqref="N35">
    <cfRule type="expression" dxfId="3821" priority="3477">
      <formula>N35&gt;F35</formula>
    </cfRule>
  </conditionalFormatting>
  <conditionalFormatting sqref="O11:O25">
    <cfRule type="expression" dxfId="3820" priority="3418">
      <formula>$AC11=2</formula>
    </cfRule>
  </conditionalFormatting>
  <conditionalFormatting sqref="V11">
    <cfRule type="expression" dxfId="3819" priority="3417">
      <formula>$AC11=2</formula>
    </cfRule>
  </conditionalFormatting>
  <conditionalFormatting sqref="V12:V15">
    <cfRule type="expression" dxfId="3818" priority="3416">
      <formula>$AC12=2</formula>
    </cfRule>
  </conditionalFormatting>
  <conditionalFormatting sqref="V17">
    <cfRule type="expression" dxfId="3817" priority="3415">
      <formula>$AC17=2</formula>
    </cfRule>
  </conditionalFormatting>
  <conditionalFormatting sqref="V19:V20">
    <cfRule type="expression" dxfId="3816" priority="3414">
      <formula>$AC19=2</formula>
    </cfRule>
  </conditionalFormatting>
  <conditionalFormatting sqref="V22:V25">
    <cfRule type="expression" dxfId="3815" priority="3413">
      <formula>$AC22=2</formula>
    </cfRule>
  </conditionalFormatting>
  <conditionalFormatting sqref="V29:V31">
    <cfRule type="expression" dxfId="3814" priority="3412">
      <formula>$AC29=2</formula>
    </cfRule>
  </conditionalFormatting>
  <conditionalFormatting sqref="V33:V35">
    <cfRule type="expression" dxfId="3813" priority="3411">
      <formula>$AC33=2</formula>
    </cfRule>
  </conditionalFormatting>
  <conditionalFormatting sqref="U12:U15">
    <cfRule type="expression" dxfId="3812" priority="3406">
      <formula>$AC12=2</formula>
    </cfRule>
  </conditionalFormatting>
  <conditionalFormatting sqref="U12:U15">
    <cfRule type="expression" dxfId="3811" priority="3405">
      <formula>U12&gt;F12</formula>
    </cfRule>
  </conditionalFormatting>
  <conditionalFormatting sqref="U17">
    <cfRule type="expression" dxfId="3810" priority="3402">
      <formula>$AC17=2</formula>
    </cfRule>
  </conditionalFormatting>
  <conditionalFormatting sqref="U17">
    <cfRule type="expression" dxfId="3809" priority="3401">
      <formula>U17&gt;F17</formula>
    </cfRule>
  </conditionalFormatting>
  <conditionalFormatting sqref="U19:U20">
    <cfRule type="expression" dxfId="3808" priority="3398">
      <formula>$AC19=2</formula>
    </cfRule>
  </conditionalFormatting>
  <conditionalFormatting sqref="U19:U20">
    <cfRule type="expression" dxfId="3807" priority="3397">
      <formula>U19&gt;F19</formula>
    </cfRule>
  </conditionalFormatting>
  <conditionalFormatting sqref="U22:U25">
    <cfRule type="expression" dxfId="3806" priority="3394">
      <formula>$AC22=2</formula>
    </cfRule>
  </conditionalFormatting>
  <conditionalFormatting sqref="U22:U25">
    <cfRule type="expression" dxfId="3805" priority="3393">
      <formula>U22&gt;F22</formula>
    </cfRule>
  </conditionalFormatting>
  <conditionalFormatting sqref="U29:U31">
    <cfRule type="expression" dxfId="3804" priority="3390">
      <formula>$AC29=2</formula>
    </cfRule>
  </conditionalFormatting>
  <conditionalFormatting sqref="U29:U31">
    <cfRule type="expression" dxfId="3803" priority="3389">
      <formula>U29&gt;F29</formula>
    </cfRule>
  </conditionalFormatting>
  <conditionalFormatting sqref="U33:U35">
    <cfRule type="expression" dxfId="3802" priority="3386">
      <formula>$AC33=2</formula>
    </cfRule>
  </conditionalFormatting>
  <conditionalFormatting sqref="U33:U35">
    <cfRule type="expression" dxfId="3801" priority="3385">
      <formula>U33&gt;F33</formula>
    </cfRule>
  </conditionalFormatting>
  <conditionalFormatting sqref="J39:K41">
    <cfRule type="expression" dxfId="3800" priority="3379">
      <formula>$AD39=4</formula>
    </cfRule>
    <cfRule type="expression" dxfId="3799" priority="3380">
      <formula>$AD39=3</formula>
    </cfRule>
    <cfRule type="expression" dxfId="3798" priority="3381">
      <formula>$AD39=2</formula>
    </cfRule>
    <cfRule type="expression" dxfId="3797" priority="3382">
      <formula>$AD39=1</formula>
    </cfRule>
  </conditionalFormatting>
  <conditionalFormatting sqref="Q39:R41">
    <cfRule type="expression" dxfId="3796" priority="3375">
      <formula>$AE39=4</formula>
    </cfRule>
    <cfRule type="expression" dxfId="3795" priority="3376">
      <formula>$AE39=3</formula>
    </cfRule>
    <cfRule type="expression" dxfId="3794" priority="3377">
      <formula>$AE39=2</formula>
    </cfRule>
    <cfRule type="expression" dxfId="3793" priority="3378">
      <formula>$AE39=1</formula>
    </cfRule>
  </conditionalFormatting>
  <conditionalFormatting sqref="X39:Y41">
    <cfRule type="expression" dxfId="3792" priority="3371">
      <formula>$AF39=4</formula>
    </cfRule>
    <cfRule type="expression" dxfId="3791" priority="3372">
      <formula>$AF39=3</formula>
    </cfRule>
    <cfRule type="expression" dxfId="3790" priority="3373">
      <formula>$AF39=2</formula>
    </cfRule>
    <cfRule type="expression" dxfId="3789" priority="3374">
      <formula>$AF39=1</formula>
    </cfRule>
  </conditionalFormatting>
  <conditionalFormatting sqref="H39:K39 J40:K41">
    <cfRule type="expression" dxfId="3788" priority="3370">
      <formula>$AC39=2</formula>
    </cfRule>
  </conditionalFormatting>
  <conditionalFormatting sqref="L39:L41">
    <cfRule type="expression" dxfId="3787" priority="3365">
      <formula>$AC39=2</formula>
    </cfRule>
  </conditionalFormatting>
  <conditionalFormatting sqref="O39">
    <cfRule type="expression" dxfId="3786" priority="3363">
      <formula>$AC39=2</formula>
    </cfRule>
  </conditionalFormatting>
  <conditionalFormatting sqref="V39">
    <cfRule type="expression" dxfId="3785" priority="3362">
      <formula>$AC39=2</formula>
    </cfRule>
  </conditionalFormatting>
  <conditionalFormatting sqref="J67:K67">
    <cfRule type="expression" dxfId="3784" priority="3358">
      <formula>$AD67=4</formula>
    </cfRule>
    <cfRule type="expression" dxfId="3783" priority="3359">
      <formula>$AD67=3</formula>
    </cfRule>
    <cfRule type="expression" dxfId="3782" priority="3360">
      <formula>$AD67=2</formula>
    </cfRule>
    <cfRule type="expression" dxfId="3781" priority="3361">
      <formula>$AD67=1</formula>
    </cfRule>
  </conditionalFormatting>
  <conditionalFormatting sqref="Q67:R67">
    <cfRule type="expression" dxfId="3780" priority="3354">
      <formula>$AE67=4</formula>
    </cfRule>
    <cfRule type="expression" dxfId="3779" priority="3355">
      <formula>$AE67=3</formula>
    </cfRule>
    <cfRule type="expression" dxfId="3778" priority="3356">
      <formula>$AE67=2</formula>
    </cfRule>
    <cfRule type="expression" dxfId="3777" priority="3357">
      <formula>$AE67=1</formula>
    </cfRule>
  </conditionalFormatting>
  <conditionalFormatting sqref="X67:Y67">
    <cfRule type="expression" dxfId="3776" priority="3350">
      <formula>$AF67=4</formula>
    </cfRule>
    <cfRule type="expression" dxfId="3775" priority="3351">
      <formula>$AF67=3</formula>
    </cfRule>
    <cfRule type="expression" dxfId="3774" priority="3352">
      <formula>$AF67=2</formula>
    </cfRule>
    <cfRule type="expression" dxfId="3773" priority="3353">
      <formula>$AF67=1</formula>
    </cfRule>
  </conditionalFormatting>
  <conditionalFormatting sqref="H67:K67">
    <cfRule type="expression" dxfId="3772" priority="3349">
      <formula>$AC67=2</formula>
    </cfRule>
  </conditionalFormatting>
  <conditionalFormatting sqref="L67">
    <cfRule type="expression" dxfId="3771" priority="3344">
      <formula>$AC67=2</formula>
    </cfRule>
  </conditionalFormatting>
  <conditionalFormatting sqref="O67">
    <cfRule type="expression" dxfId="3770" priority="3342">
      <formula>$AC67=2</formula>
    </cfRule>
  </conditionalFormatting>
  <conditionalFormatting sqref="V67">
    <cfRule type="expression" dxfId="3769" priority="3341">
      <formula>$AC67=2</formula>
    </cfRule>
  </conditionalFormatting>
  <conditionalFormatting sqref="J97:K97">
    <cfRule type="expression" dxfId="3768" priority="3337">
      <formula>$AD97=4</formula>
    </cfRule>
    <cfRule type="expression" dxfId="3767" priority="3338">
      <formula>$AD97=3</formula>
    </cfRule>
    <cfRule type="expression" dxfId="3766" priority="3339">
      <formula>$AD97=2</formula>
    </cfRule>
    <cfRule type="expression" dxfId="3765" priority="3340">
      <formula>$AD97=1</formula>
    </cfRule>
  </conditionalFormatting>
  <conditionalFormatting sqref="Q97:R97">
    <cfRule type="expression" dxfId="3764" priority="3333">
      <formula>$AE97=4</formula>
    </cfRule>
    <cfRule type="expression" dxfId="3763" priority="3334">
      <formula>$AE97=3</formula>
    </cfRule>
    <cfRule type="expression" dxfId="3762" priority="3335">
      <formula>$AE97=2</formula>
    </cfRule>
    <cfRule type="expression" dxfId="3761" priority="3336">
      <formula>$AE97=1</formula>
    </cfRule>
  </conditionalFormatting>
  <conditionalFormatting sqref="X97:Y97">
    <cfRule type="expression" dxfId="3760" priority="3329">
      <formula>$AF97=4</formula>
    </cfRule>
    <cfRule type="expression" dxfId="3759" priority="3330">
      <formula>$AF97=3</formula>
    </cfRule>
    <cfRule type="expression" dxfId="3758" priority="3331">
      <formula>$AF97=2</formula>
    </cfRule>
    <cfRule type="expression" dxfId="3757" priority="3332">
      <formula>$AF97=1</formula>
    </cfRule>
  </conditionalFormatting>
  <conditionalFormatting sqref="H97:K97">
    <cfRule type="expression" dxfId="3756" priority="3328">
      <formula>$AC97=2</formula>
    </cfRule>
  </conditionalFormatting>
  <conditionalFormatting sqref="L97">
    <cfRule type="expression" dxfId="3755" priority="3323">
      <formula>$AC97=2</formula>
    </cfRule>
  </conditionalFormatting>
  <conditionalFormatting sqref="O97">
    <cfRule type="expression" dxfId="3754" priority="3321">
      <formula>$AC97=2</formula>
    </cfRule>
  </conditionalFormatting>
  <conditionalFormatting sqref="V97">
    <cfRule type="expression" dxfId="3753" priority="3320">
      <formula>$AC97=2</formula>
    </cfRule>
  </conditionalFormatting>
  <conditionalFormatting sqref="J106:K107">
    <cfRule type="expression" dxfId="3752" priority="3316">
      <formula>$AD106=4</formula>
    </cfRule>
    <cfRule type="expression" dxfId="3751" priority="3317">
      <formula>$AD106=3</formula>
    </cfRule>
    <cfRule type="expression" dxfId="3750" priority="3318">
      <formula>$AD106=2</formula>
    </cfRule>
    <cfRule type="expression" dxfId="3749" priority="3319">
      <formula>$AD106=1</formula>
    </cfRule>
  </conditionalFormatting>
  <conditionalFormatting sqref="Q106:R106">
    <cfRule type="expression" dxfId="3748" priority="3312">
      <formula>$AE106=4</formula>
    </cfRule>
    <cfRule type="expression" dxfId="3747" priority="3313">
      <formula>$AE106=3</formula>
    </cfRule>
    <cfRule type="expression" dxfId="3746" priority="3314">
      <formula>$AE106=2</formula>
    </cfRule>
    <cfRule type="expression" dxfId="3745" priority="3315">
      <formula>$AE106=1</formula>
    </cfRule>
  </conditionalFormatting>
  <conditionalFormatting sqref="X106:Y106">
    <cfRule type="expression" dxfId="3744" priority="3308">
      <formula>$AF106=4</formula>
    </cfRule>
    <cfRule type="expression" dxfId="3743" priority="3309">
      <formula>$AF106=3</formula>
    </cfRule>
    <cfRule type="expression" dxfId="3742" priority="3310">
      <formula>$AF106=2</formula>
    </cfRule>
    <cfRule type="expression" dxfId="3741" priority="3311">
      <formula>$AF106=1</formula>
    </cfRule>
  </conditionalFormatting>
  <conditionalFormatting sqref="H106:K106 J107:K107">
    <cfRule type="expression" dxfId="3740" priority="3307">
      <formula>$AC106=2</formula>
    </cfRule>
  </conditionalFormatting>
  <conditionalFormatting sqref="L106:L107">
    <cfRule type="expression" dxfId="3739" priority="3302">
      <formula>$AC106=2</formula>
    </cfRule>
  </conditionalFormatting>
  <conditionalFormatting sqref="O106">
    <cfRule type="expression" dxfId="3738" priority="3300">
      <formula>$AC106=2</formula>
    </cfRule>
  </conditionalFormatting>
  <conditionalFormatting sqref="V106">
    <cfRule type="expression" dxfId="3737" priority="3299">
      <formula>$AC106=2</formula>
    </cfRule>
  </conditionalFormatting>
  <conditionalFormatting sqref="J120:K120">
    <cfRule type="expression" dxfId="3736" priority="3295">
      <formula>$AD120=4</formula>
    </cfRule>
    <cfRule type="expression" dxfId="3735" priority="3296">
      <formula>$AD120=3</formula>
    </cfRule>
    <cfRule type="expression" dxfId="3734" priority="3297">
      <formula>$AD120=2</formula>
    </cfRule>
    <cfRule type="expression" dxfId="3733" priority="3298">
      <formula>$AD120=1</formula>
    </cfRule>
  </conditionalFormatting>
  <conditionalFormatting sqref="Q120:R120">
    <cfRule type="expression" dxfId="3732" priority="3291">
      <formula>$AE120=4</formula>
    </cfRule>
    <cfRule type="expression" dxfId="3731" priority="3292">
      <formula>$AE120=3</formula>
    </cfRule>
    <cfRule type="expression" dxfId="3730" priority="3293">
      <formula>$AE120=2</formula>
    </cfRule>
    <cfRule type="expression" dxfId="3729" priority="3294">
      <formula>$AE120=1</formula>
    </cfRule>
  </conditionalFormatting>
  <conditionalFormatting sqref="X120:Y120">
    <cfRule type="expression" dxfId="3728" priority="3287">
      <formula>$AF120=4</formula>
    </cfRule>
    <cfRule type="expression" dxfId="3727" priority="3288">
      <formula>$AF120=3</formula>
    </cfRule>
    <cfRule type="expression" dxfId="3726" priority="3289">
      <formula>$AF120=2</formula>
    </cfRule>
    <cfRule type="expression" dxfId="3725" priority="3290">
      <formula>$AF120=1</formula>
    </cfRule>
  </conditionalFormatting>
  <conditionalFormatting sqref="H120:K120">
    <cfRule type="expression" dxfId="3724" priority="3286">
      <formula>$AC120=2</formula>
    </cfRule>
  </conditionalFormatting>
  <conditionalFormatting sqref="L120">
    <cfRule type="expression" dxfId="3723" priority="3281">
      <formula>$AC120=2</formula>
    </cfRule>
  </conditionalFormatting>
  <conditionalFormatting sqref="O120">
    <cfRule type="expression" dxfId="3722" priority="3279">
      <formula>$AC120=2</formula>
    </cfRule>
  </conditionalFormatting>
  <conditionalFormatting sqref="V120">
    <cfRule type="expression" dxfId="3721" priority="3278">
      <formula>$AC120=2</formula>
    </cfRule>
  </conditionalFormatting>
  <conditionalFormatting sqref="J150:K150">
    <cfRule type="expression" dxfId="3720" priority="3274">
      <formula>$AD150=4</formula>
    </cfRule>
    <cfRule type="expression" dxfId="3719" priority="3275">
      <formula>$AD150=3</formula>
    </cfRule>
    <cfRule type="expression" dxfId="3718" priority="3276">
      <formula>$AD150=2</formula>
    </cfRule>
    <cfRule type="expression" dxfId="3717" priority="3277">
      <formula>$AD150=1</formula>
    </cfRule>
  </conditionalFormatting>
  <conditionalFormatting sqref="Q150:R150">
    <cfRule type="expression" dxfId="3716" priority="3270">
      <formula>$AE150=4</formula>
    </cfRule>
    <cfRule type="expression" dxfId="3715" priority="3271">
      <formula>$AE150=3</formula>
    </cfRule>
    <cfRule type="expression" dxfId="3714" priority="3272">
      <formula>$AE150=2</formula>
    </cfRule>
    <cfRule type="expression" dxfId="3713" priority="3273">
      <formula>$AE150=1</formula>
    </cfRule>
  </conditionalFormatting>
  <conditionalFormatting sqref="X150:Y150">
    <cfRule type="expression" dxfId="3712" priority="3266">
      <formula>$AF150=4</formula>
    </cfRule>
    <cfRule type="expression" dxfId="3711" priority="3267">
      <formula>$AF150=3</formula>
    </cfRule>
    <cfRule type="expression" dxfId="3710" priority="3268">
      <formula>$AF150=2</formula>
    </cfRule>
    <cfRule type="expression" dxfId="3709" priority="3269">
      <formula>$AF150=1</formula>
    </cfRule>
  </conditionalFormatting>
  <conditionalFormatting sqref="H150:K150">
    <cfRule type="expression" dxfId="3708" priority="3265">
      <formula>$AC150=2</formula>
    </cfRule>
  </conditionalFormatting>
  <conditionalFormatting sqref="L150">
    <cfRule type="expression" dxfId="3707" priority="3260">
      <formula>$AC150=2</formula>
    </cfRule>
  </conditionalFormatting>
  <conditionalFormatting sqref="O150">
    <cfRule type="expression" dxfId="3706" priority="3258">
      <formula>$AC150=2</formula>
    </cfRule>
  </conditionalFormatting>
  <conditionalFormatting sqref="V150">
    <cfRule type="expression" dxfId="3705" priority="3257">
      <formula>$AC150=2</formula>
    </cfRule>
  </conditionalFormatting>
  <conditionalFormatting sqref="J165:K165">
    <cfRule type="expression" dxfId="3704" priority="3253">
      <formula>$AD165=4</formula>
    </cfRule>
    <cfRule type="expression" dxfId="3703" priority="3254">
      <formula>$AD165=3</formula>
    </cfRule>
    <cfRule type="expression" dxfId="3702" priority="3255">
      <formula>$AD165=2</formula>
    </cfRule>
    <cfRule type="expression" dxfId="3701" priority="3256">
      <formula>$AD165=1</formula>
    </cfRule>
  </conditionalFormatting>
  <conditionalFormatting sqref="Q165:R165">
    <cfRule type="expression" dxfId="3700" priority="3249">
      <formula>$AE165=4</formula>
    </cfRule>
    <cfRule type="expression" dxfId="3699" priority="3250">
      <formula>$AE165=3</formula>
    </cfRule>
    <cfRule type="expression" dxfId="3698" priority="3251">
      <formula>$AE165=2</formula>
    </cfRule>
    <cfRule type="expression" dxfId="3697" priority="3252">
      <formula>$AE165=1</formula>
    </cfRule>
  </conditionalFormatting>
  <conditionalFormatting sqref="X165:Y165">
    <cfRule type="expression" dxfId="3696" priority="3245">
      <formula>$AF165=4</formula>
    </cfRule>
    <cfRule type="expression" dxfId="3695" priority="3246">
      <formula>$AF165=3</formula>
    </cfRule>
    <cfRule type="expression" dxfId="3694" priority="3247">
      <formula>$AF165=2</formula>
    </cfRule>
    <cfRule type="expression" dxfId="3693" priority="3248">
      <formula>$AF165=1</formula>
    </cfRule>
  </conditionalFormatting>
  <conditionalFormatting sqref="H165:K165">
    <cfRule type="expression" dxfId="3692" priority="3244">
      <formula>$AC165=2</formula>
    </cfRule>
  </conditionalFormatting>
  <conditionalFormatting sqref="L165">
    <cfRule type="expression" dxfId="3691" priority="3239">
      <formula>$AC165=2</formula>
    </cfRule>
  </conditionalFormatting>
  <conditionalFormatting sqref="O165">
    <cfRule type="expression" dxfId="3690" priority="3237">
      <formula>$AC165=2</formula>
    </cfRule>
  </conditionalFormatting>
  <conditionalFormatting sqref="V165">
    <cfRule type="expression" dxfId="3689" priority="3236">
      <formula>$AC165=2</formula>
    </cfRule>
  </conditionalFormatting>
  <conditionalFormatting sqref="J197:K197">
    <cfRule type="expression" dxfId="3688" priority="3232">
      <formula>$AD197=4</formula>
    </cfRule>
    <cfRule type="expression" dxfId="3687" priority="3233">
      <formula>$AD197=3</formula>
    </cfRule>
    <cfRule type="expression" dxfId="3686" priority="3234">
      <formula>$AD197=2</formula>
    </cfRule>
    <cfRule type="expression" dxfId="3685" priority="3235">
      <formula>$AD197=1</formula>
    </cfRule>
  </conditionalFormatting>
  <conditionalFormatting sqref="Q197:R197">
    <cfRule type="expression" dxfId="3684" priority="3228">
      <formula>$AE197=4</formula>
    </cfRule>
    <cfRule type="expression" dxfId="3683" priority="3229">
      <formula>$AE197=3</formula>
    </cfRule>
    <cfRule type="expression" dxfId="3682" priority="3230">
      <formula>$AE197=2</formula>
    </cfRule>
    <cfRule type="expression" dxfId="3681" priority="3231">
      <formula>$AE197=1</formula>
    </cfRule>
  </conditionalFormatting>
  <conditionalFormatting sqref="X197:Y197">
    <cfRule type="expression" dxfId="3680" priority="3224">
      <formula>$AF197=4</formula>
    </cfRule>
    <cfRule type="expression" dxfId="3679" priority="3225">
      <formula>$AF197=3</formula>
    </cfRule>
    <cfRule type="expression" dxfId="3678" priority="3226">
      <formula>$AF197=2</formula>
    </cfRule>
    <cfRule type="expression" dxfId="3677" priority="3227">
      <formula>$AF197=1</formula>
    </cfRule>
  </conditionalFormatting>
  <conditionalFormatting sqref="H197:K197">
    <cfRule type="expression" dxfId="3676" priority="3223">
      <formula>$AC197=2</formula>
    </cfRule>
  </conditionalFormatting>
  <conditionalFormatting sqref="L197">
    <cfRule type="expression" dxfId="3675" priority="3218">
      <formula>$AC197=2</formula>
    </cfRule>
  </conditionalFormatting>
  <conditionalFormatting sqref="O197">
    <cfRule type="expression" dxfId="3674" priority="3216">
      <formula>$AC197=2</formula>
    </cfRule>
  </conditionalFormatting>
  <conditionalFormatting sqref="V197">
    <cfRule type="expression" dxfId="3673" priority="3215">
      <formula>$AC197=2</formula>
    </cfRule>
  </conditionalFormatting>
  <conditionalFormatting sqref="Q47:R47">
    <cfRule type="expression" dxfId="3672" priority="3211">
      <formula>$AE47=4</formula>
    </cfRule>
    <cfRule type="expression" dxfId="3671" priority="3212">
      <formula>$AE47=3</formula>
    </cfRule>
    <cfRule type="expression" dxfId="3670" priority="3213">
      <formula>$AE47=2</formula>
    </cfRule>
    <cfRule type="expression" dxfId="3669" priority="3214">
      <formula>$AE47=1</formula>
    </cfRule>
  </conditionalFormatting>
  <conditionalFormatting sqref="X47:Y47">
    <cfRule type="expression" dxfId="3668" priority="3207">
      <formula>$AF47=4</formula>
    </cfRule>
    <cfRule type="expression" dxfId="3667" priority="3208">
      <formula>$AF47=3</formula>
    </cfRule>
    <cfRule type="expression" dxfId="3666" priority="3209">
      <formula>$AF47=2</formula>
    </cfRule>
    <cfRule type="expression" dxfId="3665" priority="3210">
      <formula>$AF47=1</formula>
    </cfRule>
  </conditionalFormatting>
  <conditionalFormatting sqref="X47:Y47">
    <cfRule type="expression" dxfId="3664" priority="3206">
      <formula>$AC47=2</formula>
    </cfRule>
  </conditionalFormatting>
  <conditionalFormatting sqref="J47:K47">
    <cfRule type="expression" dxfId="3663" priority="3197">
      <formula>$AD47=4</formula>
    </cfRule>
    <cfRule type="expression" dxfId="3662" priority="3198">
      <formula>$AD47=3</formula>
    </cfRule>
    <cfRule type="expression" dxfId="3661" priority="3199">
      <formula>$AD47=2</formula>
    </cfRule>
    <cfRule type="expression" dxfId="3660" priority="3200">
      <formula>$AD47=1</formula>
    </cfRule>
  </conditionalFormatting>
  <conditionalFormatting sqref="J47:K47">
    <cfRule type="expression" dxfId="3659" priority="3196">
      <formula>$AC47=2</formula>
    </cfRule>
  </conditionalFormatting>
  <conditionalFormatting sqref="L47">
    <cfRule type="expression" dxfId="3658" priority="3195">
      <formula>$AC47=2</formula>
    </cfRule>
  </conditionalFormatting>
  <conditionalFormatting sqref="O47">
    <cfRule type="expression" dxfId="3657" priority="3194">
      <formula>$AC47=2</formula>
    </cfRule>
  </conditionalFormatting>
  <conditionalFormatting sqref="V47">
    <cfRule type="expression" dxfId="3656" priority="3193">
      <formula>$AC47=2</formula>
    </cfRule>
  </conditionalFormatting>
  <conditionalFormatting sqref="Q52:R52">
    <cfRule type="expression" dxfId="3655" priority="3189">
      <formula>$AE52=4</formula>
    </cfRule>
    <cfRule type="expression" dxfId="3654" priority="3190">
      <formula>$AE52=3</formula>
    </cfRule>
    <cfRule type="expression" dxfId="3653" priority="3191">
      <formula>$AE52=2</formula>
    </cfRule>
    <cfRule type="expression" dxfId="3652" priority="3192">
      <formula>$AE52=1</formula>
    </cfRule>
  </conditionalFormatting>
  <conditionalFormatting sqref="X52:Y52">
    <cfRule type="expression" dxfId="3651" priority="3185">
      <formula>$AF52=4</formula>
    </cfRule>
    <cfRule type="expression" dxfId="3650" priority="3186">
      <formula>$AF52=3</formula>
    </cfRule>
    <cfRule type="expression" dxfId="3649" priority="3187">
      <formula>$AF52=2</formula>
    </cfRule>
    <cfRule type="expression" dxfId="3648" priority="3188">
      <formula>$AF52=1</formula>
    </cfRule>
  </conditionalFormatting>
  <conditionalFormatting sqref="X52:Y52">
    <cfRule type="expression" dxfId="3647" priority="3184">
      <formula>$AC52=2</formula>
    </cfRule>
  </conditionalFormatting>
  <conditionalFormatting sqref="J52:K52">
    <cfRule type="expression" dxfId="3646" priority="3175">
      <formula>$AD52=4</formula>
    </cfRule>
    <cfRule type="expression" dxfId="3645" priority="3176">
      <formula>$AD52=3</formula>
    </cfRule>
    <cfRule type="expression" dxfId="3644" priority="3177">
      <formula>$AD52=2</formula>
    </cfRule>
    <cfRule type="expression" dxfId="3643" priority="3178">
      <formula>$AD52=1</formula>
    </cfRule>
  </conditionalFormatting>
  <conditionalFormatting sqref="J52:K52">
    <cfRule type="expression" dxfId="3642" priority="3174">
      <formula>$AC52=2</formula>
    </cfRule>
  </conditionalFormatting>
  <conditionalFormatting sqref="L52">
    <cfRule type="expression" dxfId="3641" priority="3173">
      <formula>$AC52=2</formula>
    </cfRule>
  </conditionalFormatting>
  <conditionalFormatting sqref="O52">
    <cfRule type="expression" dxfId="3640" priority="3172">
      <formula>$AC52=2</formula>
    </cfRule>
  </conditionalFormatting>
  <conditionalFormatting sqref="V52">
    <cfRule type="expression" dxfId="3639" priority="3171">
      <formula>$AC52=2</formula>
    </cfRule>
  </conditionalFormatting>
  <conditionalFormatting sqref="Q56:R56">
    <cfRule type="expression" dxfId="3638" priority="3167">
      <formula>$AE56=4</formula>
    </cfRule>
    <cfRule type="expression" dxfId="3637" priority="3168">
      <formula>$AE56=3</formula>
    </cfRule>
    <cfRule type="expression" dxfId="3636" priority="3169">
      <formula>$AE56=2</formula>
    </cfRule>
    <cfRule type="expression" dxfId="3635" priority="3170">
      <formula>$AE56=1</formula>
    </cfRule>
  </conditionalFormatting>
  <conditionalFormatting sqref="X56:Y56">
    <cfRule type="expression" dxfId="3634" priority="3163">
      <formula>$AF56=4</formula>
    </cfRule>
    <cfRule type="expression" dxfId="3633" priority="3164">
      <formula>$AF56=3</formula>
    </cfRule>
    <cfRule type="expression" dxfId="3632" priority="3165">
      <formula>$AF56=2</formula>
    </cfRule>
    <cfRule type="expression" dxfId="3631" priority="3166">
      <formula>$AF56=1</formula>
    </cfRule>
  </conditionalFormatting>
  <conditionalFormatting sqref="X56:Y56">
    <cfRule type="expression" dxfId="3630" priority="3162">
      <formula>$AC56=2</formula>
    </cfRule>
  </conditionalFormatting>
  <conditionalFormatting sqref="J56:K56">
    <cfRule type="expression" dxfId="3629" priority="3153">
      <formula>$AD56=4</formula>
    </cfRule>
    <cfRule type="expression" dxfId="3628" priority="3154">
      <formula>$AD56=3</formula>
    </cfRule>
    <cfRule type="expression" dxfId="3627" priority="3155">
      <formula>$AD56=2</formula>
    </cfRule>
    <cfRule type="expression" dxfId="3626" priority="3156">
      <formula>$AD56=1</formula>
    </cfRule>
  </conditionalFormatting>
  <conditionalFormatting sqref="J56:K56">
    <cfRule type="expression" dxfId="3625" priority="3152">
      <formula>$AC56=2</formula>
    </cfRule>
  </conditionalFormatting>
  <conditionalFormatting sqref="L56">
    <cfRule type="expression" dxfId="3624" priority="3151">
      <formula>$AC56=2</formula>
    </cfRule>
  </conditionalFormatting>
  <conditionalFormatting sqref="O56">
    <cfRule type="expression" dxfId="3623" priority="3150">
      <formula>$AC56=2</formula>
    </cfRule>
  </conditionalFormatting>
  <conditionalFormatting sqref="V56">
    <cfRule type="expression" dxfId="3622" priority="3149">
      <formula>$AC56=2</formula>
    </cfRule>
  </conditionalFormatting>
  <conditionalFormatting sqref="Q59:R59">
    <cfRule type="expression" dxfId="3621" priority="3145">
      <formula>$AE59=4</formula>
    </cfRule>
    <cfRule type="expression" dxfId="3620" priority="3146">
      <formula>$AE59=3</formula>
    </cfRule>
    <cfRule type="expression" dxfId="3619" priority="3147">
      <formula>$AE59=2</formula>
    </cfRule>
    <cfRule type="expression" dxfId="3618" priority="3148">
      <formula>$AE59=1</formula>
    </cfRule>
  </conditionalFormatting>
  <conditionalFormatting sqref="X59:Y59">
    <cfRule type="expression" dxfId="3617" priority="3141">
      <formula>$AF59=4</formula>
    </cfRule>
    <cfRule type="expression" dxfId="3616" priority="3142">
      <formula>$AF59=3</formula>
    </cfRule>
    <cfRule type="expression" dxfId="3615" priority="3143">
      <formula>$AF59=2</formula>
    </cfRule>
    <cfRule type="expression" dxfId="3614" priority="3144">
      <formula>$AF59=1</formula>
    </cfRule>
  </conditionalFormatting>
  <conditionalFormatting sqref="X59:Y59">
    <cfRule type="expression" dxfId="3613" priority="3140">
      <formula>$AC59=2</formula>
    </cfRule>
  </conditionalFormatting>
  <conditionalFormatting sqref="J59:K59">
    <cfRule type="expression" dxfId="3612" priority="3131">
      <formula>$AD59=4</formula>
    </cfRule>
    <cfRule type="expression" dxfId="3611" priority="3132">
      <formula>$AD59=3</formula>
    </cfRule>
    <cfRule type="expression" dxfId="3610" priority="3133">
      <formula>$AD59=2</formula>
    </cfRule>
    <cfRule type="expression" dxfId="3609" priority="3134">
      <formula>$AD59=1</formula>
    </cfRule>
  </conditionalFormatting>
  <conditionalFormatting sqref="J59:K59">
    <cfRule type="expression" dxfId="3608" priority="3130">
      <formula>$AC59=2</formula>
    </cfRule>
  </conditionalFormatting>
  <conditionalFormatting sqref="L59">
    <cfRule type="expression" dxfId="3607" priority="3129">
      <formula>$AC59=2</formula>
    </cfRule>
  </conditionalFormatting>
  <conditionalFormatting sqref="O59">
    <cfRule type="expression" dxfId="3606" priority="3128">
      <formula>$AC59=2</formula>
    </cfRule>
  </conditionalFormatting>
  <conditionalFormatting sqref="V59">
    <cfRule type="expression" dxfId="3605" priority="3127">
      <formula>$AC59=2</formula>
    </cfRule>
  </conditionalFormatting>
  <conditionalFormatting sqref="Q62:R62">
    <cfRule type="expression" dxfId="3604" priority="3123">
      <formula>$AE62=4</formula>
    </cfRule>
    <cfRule type="expression" dxfId="3603" priority="3124">
      <formula>$AE62=3</formula>
    </cfRule>
    <cfRule type="expression" dxfId="3602" priority="3125">
      <formula>$AE62=2</formula>
    </cfRule>
    <cfRule type="expression" dxfId="3601" priority="3126">
      <formula>$AE62=1</formula>
    </cfRule>
  </conditionalFormatting>
  <conditionalFormatting sqref="X62:Y62">
    <cfRule type="expression" dxfId="3600" priority="3119">
      <formula>$AF62=4</formula>
    </cfRule>
    <cfRule type="expression" dxfId="3599" priority="3120">
      <formula>$AF62=3</formula>
    </cfRule>
    <cfRule type="expression" dxfId="3598" priority="3121">
      <formula>$AF62=2</formula>
    </cfRule>
    <cfRule type="expression" dxfId="3597" priority="3122">
      <formula>$AF62=1</formula>
    </cfRule>
  </conditionalFormatting>
  <conditionalFormatting sqref="X62:Y62">
    <cfRule type="expression" dxfId="3596" priority="3118">
      <formula>$AC62=2</formula>
    </cfRule>
  </conditionalFormatting>
  <conditionalFormatting sqref="J62:K62">
    <cfRule type="expression" dxfId="3595" priority="3109">
      <formula>$AD62=4</formula>
    </cfRule>
    <cfRule type="expression" dxfId="3594" priority="3110">
      <formula>$AD62=3</formula>
    </cfRule>
    <cfRule type="expression" dxfId="3593" priority="3111">
      <formula>$AD62=2</formula>
    </cfRule>
    <cfRule type="expression" dxfId="3592" priority="3112">
      <formula>$AD62=1</formula>
    </cfRule>
  </conditionalFormatting>
  <conditionalFormatting sqref="J62:K62">
    <cfRule type="expression" dxfId="3591" priority="3108">
      <formula>$AC62=2</formula>
    </cfRule>
  </conditionalFormatting>
  <conditionalFormatting sqref="L62">
    <cfRule type="expression" dxfId="3590" priority="3107">
      <formula>$AC62=2</formula>
    </cfRule>
  </conditionalFormatting>
  <conditionalFormatting sqref="O62">
    <cfRule type="expression" dxfId="3589" priority="4564">
      <formula>$AC62=2</formula>
    </cfRule>
  </conditionalFormatting>
  <conditionalFormatting sqref="V62">
    <cfRule type="expression" dxfId="3588" priority="3105">
      <formula>$AC62=2</formula>
    </cfRule>
  </conditionalFormatting>
  <conditionalFormatting sqref="Q75:R75">
    <cfRule type="expression" dxfId="3587" priority="3101">
      <formula>$AE75=4</formula>
    </cfRule>
    <cfRule type="expression" dxfId="3586" priority="3102">
      <formula>$AE75=3</formula>
    </cfRule>
    <cfRule type="expression" dxfId="3585" priority="3103">
      <formula>$AE75=2</formula>
    </cfRule>
    <cfRule type="expression" dxfId="3584" priority="3104">
      <formula>$AE75=1</formula>
    </cfRule>
  </conditionalFormatting>
  <conditionalFormatting sqref="X75:Y75">
    <cfRule type="expression" dxfId="3583" priority="3097">
      <formula>$AF75=4</formula>
    </cfRule>
    <cfRule type="expression" dxfId="3582" priority="3098">
      <formula>$AF75=3</formula>
    </cfRule>
    <cfRule type="expression" dxfId="3581" priority="3099">
      <formula>$AF75=2</formula>
    </cfRule>
    <cfRule type="expression" dxfId="3580" priority="3100">
      <formula>$AF75=1</formula>
    </cfRule>
  </conditionalFormatting>
  <conditionalFormatting sqref="X75:Y75">
    <cfRule type="expression" dxfId="3579" priority="3096">
      <formula>$AC75=2</formula>
    </cfRule>
  </conditionalFormatting>
  <conditionalFormatting sqref="J75:K75">
    <cfRule type="expression" dxfId="3578" priority="3087">
      <formula>$AD75=4</formula>
    </cfRule>
    <cfRule type="expression" dxfId="3577" priority="3088">
      <formula>$AD75=3</formula>
    </cfRule>
    <cfRule type="expression" dxfId="3576" priority="3089">
      <formula>$AD75=2</formula>
    </cfRule>
    <cfRule type="expression" dxfId="3575" priority="3090">
      <formula>$AD75=1</formula>
    </cfRule>
  </conditionalFormatting>
  <conditionalFormatting sqref="J75:K75">
    <cfRule type="expression" dxfId="3574" priority="3086">
      <formula>$AC75=2</formula>
    </cfRule>
  </conditionalFormatting>
  <conditionalFormatting sqref="L75">
    <cfRule type="expression" dxfId="3573" priority="3085">
      <formula>$AC75=2</formula>
    </cfRule>
  </conditionalFormatting>
  <conditionalFormatting sqref="O75">
    <cfRule type="expression" dxfId="3572" priority="3084">
      <formula>$AC75=2</formula>
    </cfRule>
  </conditionalFormatting>
  <conditionalFormatting sqref="V75">
    <cfRule type="expression" dxfId="3571" priority="3083">
      <formula>$AC75=2</formula>
    </cfRule>
  </conditionalFormatting>
  <conditionalFormatting sqref="Q79:R79">
    <cfRule type="expression" dxfId="3570" priority="3079">
      <formula>$AE79=4</formula>
    </cfRule>
    <cfRule type="expression" dxfId="3569" priority="3080">
      <formula>$AE79=3</formula>
    </cfRule>
    <cfRule type="expression" dxfId="3568" priority="3081">
      <formula>$AE79=2</formula>
    </cfRule>
    <cfRule type="expression" dxfId="3567" priority="3082">
      <formula>$AE79=1</formula>
    </cfRule>
  </conditionalFormatting>
  <conditionalFormatting sqref="X79:Y79">
    <cfRule type="expression" dxfId="3566" priority="3075">
      <formula>$AF79=4</formula>
    </cfRule>
    <cfRule type="expression" dxfId="3565" priority="3076">
      <formula>$AF79=3</formula>
    </cfRule>
    <cfRule type="expression" dxfId="3564" priority="3077">
      <formula>$AF79=2</formula>
    </cfRule>
    <cfRule type="expression" dxfId="3563" priority="3078">
      <formula>$AF79=1</formula>
    </cfRule>
  </conditionalFormatting>
  <conditionalFormatting sqref="X79:Y79">
    <cfRule type="expression" dxfId="3562" priority="3074">
      <formula>$AC79=2</formula>
    </cfRule>
  </conditionalFormatting>
  <conditionalFormatting sqref="J79:K79">
    <cfRule type="expression" dxfId="3561" priority="3065">
      <formula>$AD79=4</formula>
    </cfRule>
    <cfRule type="expression" dxfId="3560" priority="3066">
      <formula>$AD79=3</formula>
    </cfRule>
    <cfRule type="expression" dxfId="3559" priority="3067">
      <formula>$AD79=2</formula>
    </cfRule>
    <cfRule type="expression" dxfId="3558" priority="3068">
      <formula>$AD79=1</formula>
    </cfRule>
  </conditionalFormatting>
  <conditionalFormatting sqref="J79:K79">
    <cfRule type="expression" dxfId="3557" priority="3064">
      <formula>$AC79=2</formula>
    </cfRule>
  </conditionalFormatting>
  <conditionalFormatting sqref="L79">
    <cfRule type="expression" dxfId="3556" priority="3063">
      <formula>$AC79=2</formula>
    </cfRule>
  </conditionalFormatting>
  <conditionalFormatting sqref="O79">
    <cfRule type="expression" dxfId="3555" priority="3062">
      <formula>$AC79=2</formula>
    </cfRule>
  </conditionalFormatting>
  <conditionalFormatting sqref="V79">
    <cfRule type="expression" dxfId="3554" priority="3061">
      <formula>$AC79=2</formula>
    </cfRule>
  </conditionalFormatting>
  <conditionalFormatting sqref="Q82:R82">
    <cfRule type="expression" dxfId="3553" priority="3057">
      <formula>$AE82=4</formula>
    </cfRule>
    <cfRule type="expression" dxfId="3552" priority="3058">
      <formula>$AE82=3</formula>
    </cfRule>
    <cfRule type="expression" dxfId="3551" priority="3059">
      <formula>$AE82=2</formula>
    </cfRule>
    <cfRule type="expression" dxfId="3550" priority="3060">
      <formula>$AE82=1</formula>
    </cfRule>
  </conditionalFormatting>
  <conditionalFormatting sqref="X82:Y82">
    <cfRule type="expression" dxfId="3549" priority="3053">
      <formula>$AF82=4</formula>
    </cfRule>
    <cfRule type="expression" dxfId="3548" priority="3054">
      <formula>$AF82=3</formula>
    </cfRule>
    <cfRule type="expression" dxfId="3547" priority="3055">
      <formula>$AF82=2</formula>
    </cfRule>
    <cfRule type="expression" dxfId="3546" priority="3056">
      <formula>$AF82=1</formula>
    </cfRule>
  </conditionalFormatting>
  <conditionalFormatting sqref="X82:Y82">
    <cfRule type="expression" dxfId="3545" priority="3052">
      <formula>$AC82=2</formula>
    </cfRule>
  </conditionalFormatting>
  <conditionalFormatting sqref="J82:K82">
    <cfRule type="expression" dxfId="3544" priority="3043">
      <formula>$AD82=4</formula>
    </cfRule>
    <cfRule type="expression" dxfId="3543" priority="3044">
      <formula>$AD82=3</formula>
    </cfRule>
    <cfRule type="expression" dxfId="3542" priority="3045">
      <formula>$AD82=2</formula>
    </cfRule>
    <cfRule type="expression" dxfId="3541" priority="3046">
      <formula>$AD82=1</formula>
    </cfRule>
  </conditionalFormatting>
  <conditionalFormatting sqref="J82:K82">
    <cfRule type="expression" dxfId="3540" priority="3042">
      <formula>$AC82=2</formula>
    </cfRule>
  </conditionalFormatting>
  <conditionalFormatting sqref="L82">
    <cfRule type="expression" dxfId="3539" priority="3041">
      <formula>$AC82=2</formula>
    </cfRule>
  </conditionalFormatting>
  <conditionalFormatting sqref="O82">
    <cfRule type="expression" dxfId="3538" priority="3040">
      <formula>$AC82=2</formula>
    </cfRule>
  </conditionalFormatting>
  <conditionalFormatting sqref="V82">
    <cfRule type="expression" dxfId="3537" priority="3039">
      <formula>$AC82=2</formula>
    </cfRule>
  </conditionalFormatting>
  <conditionalFormatting sqref="Q85:R85">
    <cfRule type="expression" dxfId="3536" priority="3035">
      <formula>$AE85=4</formula>
    </cfRule>
    <cfRule type="expression" dxfId="3535" priority="3036">
      <formula>$AE85=3</formula>
    </cfRule>
    <cfRule type="expression" dxfId="3534" priority="3037">
      <formula>$AE85=2</formula>
    </cfRule>
    <cfRule type="expression" dxfId="3533" priority="3038">
      <formula>$AE85=1</formula>
    </cfRule>
  </conditionalFormatting>
  <conditionalFormatting sqref="X85:Y85">
    <cfRule type="expression" dxfId="3532" priority="3031">
      <formula>$AF85=4</formula>
    </cfRule>
    <cfRule type="expression" dxfId="3531" priority="3032">
      <formula>$AF85=3</formula>
    </cfRule>
    <cfRule type="expression" dxfId="3530" priority="3033">
      <formula>$AF85=2</formula>
    </cfRule>
    <cfRule type="expression" dxfId="3529" priority="3034">
      <formula>$AF85=1</formula>
    </cfRule>
  </conditionalFormatting>
  <conditionalFormatting sqref="X85:Y85">
    <cfRule type="expression" dxfId="3528" priority="3030">
      <formula>$AC85=2</formula>
    </cfRule>
  </conditionalFormatting>
  <conditionalFormatting sqref="J85:K85">
    <cfRule type="expression" dxfId="3527" priority="3021">
      <formula>$AD85=4</formula>
    </cfRule>
    <cfRule type="expression" dxfId="3526" priority="3022">
      <formula>$AD85=3</formula>
    </cfRule>
    <cfRule type="expression" dxfId="3525" priority="3023">
      <formula>$AD85=2</formula>
    </cfRule>
    <cfRule type="expression" dxfId="3524" priority="3024">
      <formula>$AD85=1</formula>
    </cfRule>
  </conditionalFormatting>
  <conditionalFormatting sqref="J85:K85">
    <cfRule type="expression" dxfId="3523" priority="3020">
      <formula>$AC85=2</formula>
    </cfRule>
  </conditionalFormatting>
  <conditionalFormatting sqref="L85">
    <cfRule type="expression" dxfId="3522" priority="3019">
      <formula>$AC85=2</formula>
    </cfRule>
  </conditionalFormatting>
  <conditionalFormatting sqref="O85">
    <cfRule type="expression" dxfId="3521" priority="3018">
      <formula>$AC85=2</formula>
    </cfRule>
  </conditionalFormatting>
  <conditionalFormatting sqref="V85">
    <cfRule type="expression" dxfId="3520" priority="3017">
      <formula>$AC85=2</formula>
    </cfRule>
  </conditionalFormatting>
  <conditionalFormatting sqref="Q89:R89">
    <cfRule type="expression" dxfId="3519" priority="3013">
      <formula>$AE89=4</formula>
    </cfRule>
    <cfRule type="expression" dxfId="3518" priority="3014">
      <formula>$AE89=3</formula>
    </cfRule>
    <cfRule type="expression" dxfId="3517" priority="3015">
      <formula>$AE89=2</formula>
    </cfRule>
    <cfRule type="expression" dxfId="3516" priority="3016">
      <formula>$AE89=1</formula>
    </cfRule>
  </conditionalFormatting>
  <conditionalFormatting sqref="X89:Y89">
    <cfRule type="expression" dxfId="3515" priority="3009">
      <formula>$AF89=4</formula>
    </cfRule>
    <cfRule type="expression" dxfId="3514" priority="3010">
      <formula>$AF89=3</formula>
    </cfRule>
    <cfRule type="expression" dxfId="3513" priority="3011">
      <formula>$AF89=2</formula>
    </cfRule>
    <cfRule type="expression" dxfId="3512" priority="3012">
      <formula>$AF89=1</formula>
    </cfRule>
  </conditionalFormatting>
  <conditionalFormatting sqref="X89:Y89">
    <cfRule type="expression" dxfId="3511" priority="3008">
      <formula>$AC89=2</formula>
    </cfRule>
  </conditionalFormatting>
  <conditionalFormatting sqref="J89:K89">
    <cfRule type="expression" dxfId="3510" priority="2999">
      <formula>$AD89=4</formula>
    </cfRule>
    <cfRule type="expression" dxfId="3509" priority="3000">
      <formula>$AD89=3</formula>
    </cfRule>
    <cfRule type="expression" dxfId="3508" priority="3001">
      <formula>$AD89=2</formula>
    </cfRule>
    <cfRule type="expression" dxfId="3507" priority="3002">
      <formula>$AD89=1</formula>
    </cfRule>
  </conditionalFormatting>
  <conditionalFormatting sqref="J89:K89">
    <cfRule type="expression" dxfId="3506" priority="2998">
      <formula>$AC89=2</formula>
    </cfRule>
  </conditionalFormatting>
  <conditionalFormatting sqref="L89">
    <cfRule type="expression" dxfId="3505" priority="2997">
      <formula>$AC89=2</formula>
    </cfRule>
  </conditionalFormatting>
  <conditionalFormatting sqref="O89">
    <cfRule type="expression" dxfId="3504" priority="2996">
      <formula>$AC89=2</formula>
    </cfRule>
  </conditionalFormatting>
  <conditionalFormatting sqref="V89">
    <cfRule type="expression" dxfId="3503" priority="2995">
      <formula>$AC89=2</formula>
    </cfRule>
  </conditionalFormatting>
  <conditionalFormatting sqref="Q92:R92">
    <cfRule type="expression" dxfId="3502" priority="2991">
      <formula>$AE92=4</formula>
    </cfRule>
    <cfRule type="expression" dxfId="3501" priority="2992">
      <formula>$AE92=3</formula>
    </cfRule>
    <cfRule type="expression" dxfId="3500" priority="2993">
      <formula>$AE92=2</formula>
    </cfRule>
    <cfRule type="expression" dxfId="3499" priority="2994">
      <formula>$AE92=1</formula>
    </cfRule>
  </conditionalFormatting>
  <conditionalFormatting sqref="X92:Y92">
    <cfRule type="expression" dxfId="3498" priority="2987">
      <formula>$AF92=4</formula>
    </cfRule>
    <cfRule type="expression" dxfId="3497" priority="2988">
      <formula>$AF92=3</formula>
    </cfRule>
    <cfRule type="expression" dxfId="3496" priority="2989">
      <formula>$AF92=2</formula>
    </cfRule>
    <cfRule type="expression" dxfId="3495" priority="2990">
      <formula>$AF92=1</formula>
    </cfRule>
  </conditionalFormatting>
  <conditionalFormatting sqref="X92:Y92">
    <cfRule type="expression" dxfId="3494" priority="2986">
      <formula>$AC92=2</formula>
    </cfRule>
  </conditionalFormatting>
  <conditionalFormatting sqref="J92:K92">
    <cfRule type="expression" dxfId="3493" priority="2977">
      <formula>$AD92=4</formula>
    </cfRule>
    <cfRule type="expression" dxfId="3492" priority="2978">
      <formula>$AD92=3</formula>
    </cfRule>
    <cfRule type="expression" dxfId="3491" priority="2979">
      <formula>$AD92=2</formula>
    </cfRule>
    <cfRule type="expression" dxfId="3490" priority="2980">
      <formula>$AD92=1</formula>
    </cfRule>
  </conditionalFormatting>
  <conditionalFormatting sqref="J92:K92">
    <cfRule type="expression" dxfId="3489" priority="2976">
      <formula>$AC92=2</formula>
    </cfRule>
  </conditionalFormatting>
  <conditionalFormatting sqref="L92">
    <cfRule type="expression" dxfId="3488" priority="2975">
      <formula>$AC92=2</formula>
    </cfRule>
  </conditionalFormatting>
  <conditionalFormatting sqref="O92">
    <cfRule type="expression" dxfId="3487" priority="2974">
      <formula>$AC92=2</formula>
    </cfRule>
  </conditionalFormatting>
  <conditionalFormatting sqref="V92">
    <cfRule type="expression" dxfId="3486" priority="2973">
      <formula>$AC92=2</formula>
    </cfRule>
  </conditionalFormatting>
  <conditionalFormatting sqref="Q100:R100">
    <cfRule type="expression" dxfId="3485" priority="2969">
      <formula>$AE100=4</formula>
    </cfRule>
    <cfRule type="expression" dxfId="3484" priority="2970">
      <formula>$AE100=3</formula>
    </cfRule>
    <cfRule type="expression" dxfId="3483" priority="2971">
      <formula>$AE100=2</formula>
    </cfRule>
    <cfRule type="expression" dxfId="3482" priority="2972">
      <formula>$AE100=1</formula>
    </cfRule>
  </conditionalFormatting>
  <conditionalFormatting sqref="X100:Y100">
    <cfRule type="expression" dxfId="3481" priority="2965">
      <formula>$AF100=4</formula>
    </cfRule>
    <cfRule type="expression" dxfId="3480" priority="2966">
      <formula>$AF100=3</formula>
    </cfRule>
    <cfRule type="expression" dxfId="3479" priority="2967">
      <formula>$AF100=2</formula>
    </cfRule>
    <cfRule type="expression" dxfId="3478" priority="2968">
      <formula>$AF100=1</formula>
    </cfRule>
  </conditionalFormatting>
  <conditionalFormatting sqref="X100:Y100">
    <cfRule type="expression" dxfId="3477" priority="2964">
      <formula>$AC100=2</formula>
    </cfRule>
  </conditionalFormatting>
  <conditionalFormatting sqref="J100:K100">
    <cfRule type="expression" dxfId="3476" priority="2955">
      <formula>$AD100=4</formula>
    </cfRule>
    <cfRule type="expression" dxfId="3475" priority="2956">
      <formula>$AD100=3</formula>
    </cfRule>
    <cfRule type="expression" dxfId="3474" priority="2957">
      <formula>$AD100=2</formula>
    </cfRule>
    <cfRule type="expression" dxfId="3473" priority="2958">
      <formula>$AD100=1</formula>
    </cfRule>
  </conditionalFormatting>
  <conditionalFormatting sqref="J100:K100">
    <cfRule type="expression" dxfId="3472" priority="2954">
      <formula>$AC100=2</formula>
    </cfRule>
  </conditionalFormatting>
  <conditionalFormatting sqref="L100">
    <cfRule type="expression" dxfId="3471" priority="2953">
      <formula>$AC100=2</formula>
    </cfRule>
  </conditionalFormatting>
  <conditionalFormatting sqref="O100">
    <cfRule type="expression" dxfId="3470" priority="2952">
      <formula>$AC100=2</formula>
    </cfRule>
  </conditionalFormatting>
  <conditionalFormatting sqref="V100">
    <cfRule type="expression" dxfId="3469" priority="2951">
      <formula>$AC100=2</formula>
    </cfRule>
  </conditionalFormatting>
  <conditionalFormatting sqref="Q109:R109">
    <cfRule type="expression" dxfId="3468" priority="2947">
      <formula>$AE109=4</formula>
    </cfRule>
    <cfRule type="expression" dxfId="3467" priority="2948">
      <formula>$AE109=3</formula>
    </cfRule>
    <cfRule type="expression" dxfId="3466" priority="2949">
      <formula>$AE109=2</formula>
    </cfRule>
    <cfRule type="expression" dxfId="3465" priority="2950">
      <formula>$AE109=1</formula>
    </cfRule>
  </conditionalFormatting>
  <conditionalFormatting sqref="X109:Y109">
    <cfRule type="expression" dxfId="3464" priority="2943">
      <formula>$AF109=4</formula>
    </cfRule>
    <cfRule type="expression" dxfId="3463" priority="2944">
      <formula>$AF109=3</formula>
    </cfRule>
    <cfRule type="expression" dxfId="3462" priority="2945">
      <formula>$AF109=2</formula>
    </cfRule>
    <cfRule type="expression" dxfId="3461" priority="2946">
      <formula>$AF109=1</formula>
    </cfRule>
  </conditionalFormatting>
  <conditionalFormatting sqref="X109:Y109">
    <cfRule type="expression" dxfId="3460" priority="2942">
      <formula>$AC109=2</formula>
    </cfRule>
  </conditionalFormatting>
  <conditionalFormatting sqref="J109:K109">
    <cfRule type="expression" dxfId="3459" priority="2933">
      <formula>$AD109=4</formula>
    </cfRule>
    <cfRule type="expression" dxfId="3458" priority="2934">
      <formula>$AD109=3</formula>
    </cfRule>
    <cfRule type="expression" dxfId="3457" priority="2935">
      <formula>$AD109=2</formula>
    </cfRule>
    <cfRule type="expression" dxfId="3456" priority="2936">
      <formula>$AD109=1</formula>
    </cfRule>
  </conditionalFormatting>
  <conditionalFormatting sqref="J109:K109">
    <cfRule type="expression" dxfId="3455" priority="2932">
      <formula>$AC109=2</formula>
    </cfRule>
  </conditionalFormatting>
  <conditionalFormatting sqref="L109">
    <cfRule type="expression" dxfId="3454" priority="2931">
      <formula>$AC109=2</formula>
    </cfRule>
  </conditionalFormatting>
  <conditionalFormatting sqref="O109">
    <cfRule type="expression" dxfId="3453" priority="2930">
      <formula>$AC109=2</formula>
    </cfRule>
  </conditionalFormatting>
  <conditionalFormatting sqref="V109">
    <cfRule type="expression" dxfId="3452" priority="2929">
      <formula>$AC109=2</formula>
    </cfRule>
  </conditionalFormatting>
  <conditionalFormatting sqref="Q111:R111">
    <cfRule type="expression" dxfId="3451" priority="2925">
      <formula>$AE111=4</formula>
    </cfRule>
    <cfRule type="expression" dxfId="3450" priority="2926">
      <formula>$AE111=3</formula>
    </cfRule>
    <cfRule type="expression" dxfId="3449" priority="2927">
      <formula>$AE111=2</formula>
    </cfRule>
    <cfRule type="expression" dxfId="3448" priority="2928">
      <formula>$AE111=1</formula>
    </cfRule>
  </conditionalFormatting>
  <conditionalFormatting sqref="X111:Y111">
    <cfRule type="expression" dxfId="3447" priority="2921">
      <formula>$AF111=4</formula>
    </cfRule>
    <cfRule type="expression" dxfId="3446" priority="2922">
      <formula>$AF111=3</formula>
    </cfRule>
    <cfRule type="expression" dxfId="3445" priority="2923">
      <formula>$AF111=2</formula>
    </cfRule>
    <cfRule type="expression" dxfId="3444" priority="2924">
      <formula>$AF111=1</formula>
    </cfRule>
  </conditionalFormatting>
  <conditionalFormatting sqref="X111:Y111">
    <cfRule type="expression" dxfId="3443" priority="2920">
      <formula>$AC111=2</formula>
    </cfRule>
  </conditionalFormatting>
  <conditionalFormatting sqref="J111:K111">
    <cfRule type="expression" dxfId="3442" priority="2911">
      <formula>$AD111=4</formula>
    </cfRule>
    <cfRule type="expression" dxfId="3441" priority="2912">
      <formula>$AD111=3</formula>
    </cfRule>
    <cfRule type="expression" dxfId="3440" priority="2913">
      <formula>$AD111=2</formula>
    </cfRule>
    <cfRule type="expression" dxfId="3439" priority="2914">
      <formula>$AD111=1</formula>
    </cfRule>
  </conditionalFormatting>
  <conditionalFormatting sqref="L111">
    <cfRule type="expression" dxfId="3438" priority="2909">
      <formula>$AC111=2</formula>
    </cfRule>
  </conditionalFormatting>
  <conditionalFormatting sqref="V111">
    <cfRule type="expression" dxfId="3437" priority="2907">
      <formula>$AC111=2</formula>
    </cfRule>
  </conditionalFormatting>
  <conditionalFormatting sqref="Q115:R115">
    <cfRule type="expression" dxfId="3436" priority="2903">
      <formula>$AE115=4</formula>
    </cfRule>
    <cfRule type="expression" dxfId="3435" priority="2904">
      <formula>$AE115=3</formula>
    </cfRule>
    <cfRule type="expression" dxfId="3434" priority="2905">
      <formula>$AE115=2</formula>
    </cfRule>
    <cfRule type="expression" dxfId="3433" priority="2906">
      <formula>$AE115=1</formula>
    </cfRule>
  </conditionalFormatting>
  <conditionalFormatting sqref="X115:Y115">
    <cfRule type="expression" dxfId="3432" priority="2899">
      <formula>$AF115=4</formula>
    </cfRule>
    <cfRule type="expression" dxfId="3431" priority="2900">
      <formula>$AF115=3</formula>
    </cfRule>
    <cfRule type="expression" dxfId="3430" priority="2901">
      <formula>$AF115=2</formula>
    </cfRule>
    <cfRule type="expression" dxfId="3429" priority="2902">
      <formula>$AF115=1</formula>
    </cfRule>
  </conditionalFormatting>
  <conditionalFormatting sqref="X115:Y115">
    <cfRule type="expression" dxfId="3428" priority="2898">
      <formula>$AC115=2</formula>
    </cfRule>
  </conditionalFormatting>
  <conditionalFormatting sqref="J115:K115">
    <cfRule type="expression" dxfId="3427" priority="2889">
      <formula>$AD115=4</formula>
    </cfRule>
    <cfRule type="expression" dxfId="3426" priority="2890">
      <formula>$AD115=3</formula>
    </cfRule>
    <cfRule type="expression" dxfId="3425" priority="2891">
      <formula>$AD115=2</formula>
    </cfRule>
    <cfRule type="expression" dxfId="3424" priority="2892">
      <formula>$AD115=1</formula>
    </cfRule>
  </conditionalFormatting>
  <conditionalFormatting sqref="J115:K115">
    <cfRule type="expression" dxfId="3423" priority="2888">
      <formula>$AC115=2</formula>
    </cfRule>
  </conditionalFormatting>
  <conditionalFormatting sqref="L115">
    <cfRule type="expression" dxfId="3422" priority="2887">
      <formula>$AC115=2</formula>
    </cfRule>
  </conditionalFormatting>
  <conditionalFormatting sqref="O115">
    <cfRule type="expression" dxfId="3421" priority="2886">
      <formula>$AC115=2</formula>
    </cfRule>
  </conditionalFormatting>
  <conditionalFormatting sqref="V115">
    <cfRule type="expression" dxfId="3420" priority="2885">
      <formula>$AC115=2</formula>
    </cfRule>
  </conditionalFormatting>
  <conditionalFormatting sqref="Q124:R124">
    <cfRule type="expression" dxfId="3419" priority="2881">
      <formula>$AE124=4</formula>
    </cfRule>
    <cfRule type="expression" dxfId="3418" priority="2882">
      <formula>$AE124=3</formula>
    </cfRule>
    <cfRule type="expression" dxfId="3417" priority="2883">
      <formula>$AE124=2</formula>
    </cfRule>
    <cfRule type="expression" dxfId="3416" priority="2884">
      <formula>$AE124=1</formula>
    </cfRule>
  </conditionalFormatting>
  <conditionalFormatting sqref="X124:Y124">
    <cfRule type="expression" dxfId="3415" priority="2877">
      <formula>$AF124=4</formula>
    </cfRule>
    <cfRule type="expression" dxfId="3414" priority="2878">
      <formula>$AF124=3</formula>
    </cfRule>
    <cfRule type="expression" dxfId="3413" priority="2879">
      <formula>$AF124=2</formula>
    </cfRule>
    <cfRule type="expression" dxfId="3412" priority="2880">
      <formula>$AF124=1</formula>
    </cfRule>
  </conditionalFormatting>
  <conditionalFormatting sqref="J124:K124">
    <cfRule type="expression" dxfId="3411" priority="2867">
      <formula>$AD124=4</formula>
    </cfRule>
    <cfRule type="expression" dxfId="3410" priority="2868">
      <formula>$AD124=3</formula>
    </cfRule>
    <cfRule type="expression" dxfId="3409" priority="2869">
      <formula>$AD124=2</formula>
    </cfRule>
    <cfRule type="expression" dxfId="3408" priority="2870">
      <formula>$AD124=1</formula>
    </cfRule>
  </conditionalFormatting>
  <conditionalFormatting sqref="J124:K124">
    <cfRule type="expression" dxfId="3407" priority="2866">
      <formula>$AC124=2</formula>
    </cfRule>
  </conditionalFormatting>
  <conditionalFormatting sqref="L124">
    <cfRule type="expression" dxfId="3406" priority="2865">
      <formula>$AC124=2</formula>
    </cfRule>
  </conditionalFormatting>
  <conditionalFormatting sqref="O124">
    <cfRule type="expression" dxfId="3405" priority="2864">
      <formula>$AC124=2</formula>
    </cfRule>
  </conditionalFormatting>
  <conditionalFormatting sqref="V124">
    <cfRule type="expression" dxfId="3404" priority="2863">
      <formula>$AC124=2</formula>
    </cfRule>
  </conditionalFormatting>
  <conditionalFormatting sqref="Q128:R128">
    <cfRule type="expression" dxfId="3403" priority="2859">
      <formula>$AE128=4</formula>
    </cfRule>
    <cfRule type="expression" dxfId="3402" priority="2860">
      <formula>$AE128=3</formula>
    </cfRule>
    <cfRule type="expression" dxfId="3401" priority="2861">
      <formula>$AE128=2</formula>
    </cfRule>
    <cfRule type="expression" dxfId="3400" priority="2862">
      <formula>$AE128=1</formula>
    </cfRule>
  </conditionalFormatting>
  <conditionalFormatting sqref="X128:Y128">
    <cfRule type="expression" dxfId="3399" priority="2855">
      <formula>$AF128=4</formula>
    </cfRule>
    <cfRule type="expression" dxfId="3398" priority="2856">
      <formula>$AF128=3</formula>
    </cfRule>
    <cfRule type="expression" dxfId="3397" priority="2857">
      <formula>$AF128=2</formula>
    </cfRule>
    <cfRule type="expression" dxfId="3396" priority="2858">
      <formula>$AF128=1</formula>
    </cfRule>
  </conditionalFormatting>
  <conditionalFormatting sqref="X128:Y128">
    <cfRule type="expression" dxfId="3395" priority="2854">
      <formula>$AC128=2</formula>
    </cfRule>
  </conditionalFormatting>
  <conditionalFormatting sqref="J128:K128">
    <cfRule type="expression" dxfId="3394" priority="2845">
      <formula>$AD128=4</formula>
    </cfRule>
    <cfRule type="expression" dxfId="3393" priority="2846">
      <formula>$AD128=3</formula>
    </cfRule>
    <cfRule type="expression" dxfId="3392" priority="2847">
      <formula>$AD128=2</formula>
    </cfRule>
    <cfRule type="expression" dxfId="3391" priority="2848">
      <formula>$AD128=1</formula>
    </cfRule>
  </conditionalFormatting>
  <conditionalFormatting sqref="J128:K128">
    <cfRule type="expression" dxfId="3390" priority="2844">
      <formula>$AC128=2</formula>
    </cfRule>
  </conditionalFormatting>
  <conditionalFormatting sqref="L128">
    <cfRule type="expression" dxfId="3389" priority="2843">
      <formula>$AC128=2</formula>
    </cfRule>
  </conditionalFormatting>
  <conditionalFormatting sqref="O128">
    <cfRule type="expression" dxfId="3388" priority="2842">
      <formula>$AC128=2</formula>
    </cfRule>
  </conditionalFormatting>
  <conditionalFormatting sqref="V128">
    <cfRule type="expression" dxfId="3387" priority="2841">
      <formula>$AC128=2</formula>
    </cfRule>
  </conditionalFormatting>
  <conditionalFormatting sqref="Q132:R132">
    <cfRule type="expression" dxfId="3386" priority="2837">
      <formula>$AE132=4</formula>
    </cfRule>
    <cfRule type="expression" dxfId="3385" priority="2838">
      <formula>$AE132=3</formula>
    </cfRule>
    <cfRule type="expression" dxfId="3384" priority="2839">
      <formula>$AE132=2</formula>
    </cfRule>
    <cfRule type="expression" dxfId="3383" priority="2840">
      <formula>$AE132=1</formula>
    </cfRule>
  </conditionalFormatting>
  <conditionalFormatting sqref="X132:Y132">
    <cfRule type="expression" dxfId="3382" priority="2833">
      <formula>$AF132=4</formula>
    </cfRule>
    <cfRule type="expression" dxfId="3381" priority="2834">
      <formula>$AF132=3</formula>
    </cfRule>
    <cfRule type="expression" dxfId="3380" priority="2835">
      <formula>$AF132=2</formula>
    </cfRule>
    <cfRule type="expression" dxfId="3379" priority="2836">
      <formula>$AF132=1</formula>
    </cfRule>
  </conditionalFormatting>
  <conditionalFormatting sqref="X132:Y132">
    <cfRule type="expression" dxfId="3378" priority="2832">
      <formula>$AC132=2</formula>
    </cfRule>
  </conditionalFormatting>
  <conditionalFormatting sqref="J132:K132">
    <cfRule type="expression" dxfId="3377" priority="2823">
      <formula>$AD132=4</formula>
    </cfRule>
    <cfRule type="expression" dxfId="3376" priority="2824">
      <formula>$AD132=3</formula>
    </cfRule>
    <cfRule type="expression" dxfId="3375" priority="2825">
      <formula>$AD132=2</formula>
    </cfRule>
    <cfRule type="expression" dxfId="3374" priority="2826">
      <formula>$AD132=1</formula>
    </cfRule>
  </conditionalFormatting>
  <conditionalFormatting sqref="J132:K132">
    <cfRule type="expression" dxfId="3373" priority="2822">
      <formula>$AC132=2</formula>
    </cfRule>
  </conditionalFormatting>
  <conditionalFormatting sqref="L132">
    <cfRule type="expression" dxfId="3372" priority="2821">
      <formula>$AC132=2</formula>
    </cfRule>
  </conditionalFormatting>
  <conditionalFormatting sqref="O132">
    <cfRule type="expression" dxfId="3371" priority="2820">
      <formula>$AC132=2</formula>
    </cfRule>
  </conditionalFormatting>
  <conditionalFormatting sqref="V132">
    <cfRule type="expression" dxfId="3370" priority="2819">
      <formula>$AC132=2</formula>
    </cfRule>
  </conditionalFormatting>
  <conditionalFormatting sqref="Q138:R138">
    <cfRule type="expression" dxfId="3369" priority="2815">
      <formula>$AE138=4</formula>
    </cfRule>
    <cfRule type="expression" dxfId="3368" priority="2816">
      <formula>$AE138=3</formula>
    </cfRule>
    <cfRule type="expression" dxfId="3367" priority="2817">
      <formula>$AE138=2</formula>
    </cfRule>
    <cfRule type="expression" dxfId="3366" priority="2818">
      <formula>$AE138=1</formula>
    </cfRule>
  </conditionalFormatting>
  <conditionalFormatting sqref="X138:Y138">
    <cfRule type="expression" dxfId="3365" priority="2811">
      <formula>$AF138=4</formula>
    </cfRule>
    <cfRule type="expression" dxfId="3364" priority="2812">
      <formula>$AF138=3</formula>
    </cfRule>
    <cfRule type="expression" dxfId="3363" priority="2813">
      <formula>$AF138=2</formula>
    </cfRule>
    <cfRule type="expression" dxfId="3362" priority="2814">
      <formula>$AF138=1</formula>
    </cfRule>
  </conditionalFormatting>
  <conditionalFormatting sqref="X138:Y138">
    <cfRule type="expression" dxfId="3361" priority="2810">
      <formula>$AC138=2</formula>
    </cfRule>
  </conditionalFormatting>
  <conditionalFormatting sqref="K138">
    <cfRule type="expression" dxfId="3360" priority="2801">
      <formula>$AD138=4</formula>
    </cfRule>
    <cfRule type="expression" dxfId="3359" priority="2802">
      <formula>$AD138=3</formula>
    </cfRule>
    <cfRule type="expression" dxfId="3358" priority="2803">
      <formula>$AD138=2</formula>
    </cfRule>
    <cfRule type="expression" dxfId="3357" priority="2804">
      <formula>$AD138=1</formula>
    </cfRule>
  </conditionalFormatting>
  <conditionalFormatting sqref="K138">
    <cfRule type="expression" dxfId="3356" priority="2800">
      <formula>$AC138=2</formula>
    </cfRule>
  </conditionalFormatting>
  <conditionalFormatting sqref="L138">
    <cfRule type="expression" dxfId="3355" priority="2799">
      <formula>$AC138=2</formula>
    </cfRule>
  </conditionalFormatting>
  <conditionalFormatting sqref="O138">
    <cfRule type="expression" dxfId="3354" priority="2798">
      <formula>$AC138=2</formula>
    </cfRule>
  </conditionalFormatting>
  <conditionalFormatting sqref="V138">
    <cfRule type="expression" dxfId="3353" priority="2797">
      <formula>$AC138=2</formula>
    </cfRule>
  </conditionalFormatting>
  <conditionalFormatting sqref="Q143:R143">
    <cfRule type="expression" dxfId="3352" priority="2793">
      <formula>$AE143=4</formula>
    </cfRule>
    <cfRule type="expression" dxfId="3351" priority="2794">
      <formula>$AE143=3</formula>
    </cfRule>
    <cfRule type="expression" dxfId="3350" priority="2795">
      <formula>$AE143=2</formula>
    </cfRule>
    <cfRule type="expression" dxfId="3349" priority="2796">
      <formula>$AE143=1</formula>
    </cfRule>
  </conditionalFormatting>
  <conditionalFormatting sqref="X143:Y143">
    <cfRule type="expression" dxfId="3348" priority="2789">
      <formula>$AF143=4</formula>
    </cfRule>
    <cfRule type="expression" dxfId="3347" priority="2790">
      <formula>$AF143=3</formula>
    </cfRule>
    <cfRule type="expression" dxfId="3346" priority="2791">
      <formula>$AF143=2</formula>
    </cfRule>
    <cfRule type="expression" dxfId="3345" priority="2792">
      <formula>$AF143=1</formula>
    </cfRule>
  </conditionalFormatting>
  <conditionalFormatting sqref="X143:Y143">
    <cfRule type="expression" dxfId="3344" priority="2788">
      <formula>$AC143=2</formula>
    </cfRule>
  </conditionalFormatting>
  <conditionalFormatting sqref="J143:K143">
    <cfRule type="expression" dxfId="3343" priority="2779">
      <formula>$AD143=4</formula>
    </cfRule>
    <cfRule type="expression" dxfId="3342" priority="2780">
      <formula>$AD143=3</formula>
    </cfRule>
    <cfRule type="expression" dxfId="3341" priority="2781">
      <formula>$AD143=2</formula>
    </cfRule>
    <cfRule type="expression" dxfId="3340" priority="2782">
      <formula>$AD143=1</formula>
    </cfRule>
  </conditionalFormatting>
  <conditionalFormatting sqref="J143:K143">
    <cfRule type="expression" dxfId="3339" priority="2778">
      <formula>$AC143=2</formula>
    </cfRule>
  </conditionalFormatting>
  <conditionalFormatting sqref="L143">
    <cfRule type="expression" dxfId="3338" priority="2777">
      <formula>$AC143=2</formula>
    </cfRule>
  </conditionalFormatting>
  <conditionalFormatting sqref="O143">
    <cfRule type="expression" dxfId="3337" priority="2776">
      <formula>$AC143=2</formula>
    </cfRule>
  </conditionalFormatting>
  <conditionalFormatting sqref="V143">
    <cfRule type="expression" dxfId="3336" priority="2775">
      <formula>$AC143=2</formula>
    </cfRule>
  </conditionalFormatting>
  <conditionalFormatting sqref="Q156:R156">
    <cfRule type="expression" dxfId="3335" priority="2771">
      <formula>$AE156=4</formula>
    </cfRule>
    <cfRule type="expression" dxfId="3334" priority="2772">
      <formula>$AE156=3</formula>
    </cfRule>
    <cfRule type="expression" dxfId="3333" priority="2773">
      <formula>$AE156=2</formula>
    </cfRule>
    <cfRule type="expression" dxfId="3332" priority="2774">
      <formula>$AE156=1</formula>
    </cfRule>
  </conditionalFormatting>
  <conditionalFormatting sqref="X156:Y156">
    <cfRule type="expression" dxfId="3331" priority="2767">
      <formula>$AF156=4</formula>
    </cfRule>
    <cfRule type="expression" dxfId="3330" priority="2768">
      <formula>$AF156=3</formula>
    </cfRule>
    <cfRule type="expression" dxfId="3329" priority="2769">
      <formula>$AF156=2</formula>
    </cfRule>
    <cfRule type="expression" dxfId="3328" priority="2770">
      <formula>$AF156=1</formula>
    </cfRule>
  </conditionalFormatting>
  <conditionalFormatting sqref="X156:Y156">
    <cfRule type="expression" dxfId="3327" priority="2766">
      <formula>$AC156=2</formula>
    </cfRule>
  </conditionalFormatting>
  <conditionalFormatting sqref="J156:K156">
    <cfRule type="expression" dxfId="3326" priority="2757">
      <formula>$AD156=4</formula>
    </cfRule>
    <cfRule type="expression" dxfId="3325" priority="2758">
      <formula>$AD156=3</formula>
    </cfRule>
    <cfRule type="expression" dxfId="3324" priority="2759">
      <formula>$AD156=2</formula>
    </cfRule>
    <cfRule type="expression" dxfId="3323" priority="2760">
      <formula>$AD156=1</formula>
    </cfRule>
  </conditionalFormatting>
  <conditionalFormatting sqref="J156:K156">
    <cfRule type="expression" dxfId="3322" priority="2756">
      <formula>$AC156=2</formula>
    </cfRule>
  </conditionalFormatting>
  <conditionalFormatting sqref="L156">
    <cfRule type="expression" dxfId="3321" priority="2755">
      <formula>$AC156=2</formula>
    </cfRule>
  </conditionalFormatting>
  <conditionalFormatting sqref="O156">
    <cfRule type="expression" dxfId="3320" priority="2754">
      <formula>$AC156=2</formula>
    </cfRule>
  </conditionalFormatting>
  <conditionalFormatting sqref="V156">
    <cfRule type="expression" dxfId="3319" priority="2753">
      <formula>$AC156=2</formula>
    </cfRule>
  </conditionalFormatting>
  <conditionalFormatting sqref="Q158:R158">
    <cfRule type="expression" dxfId="3318" priority="2749">
      <formula>$AE158=4</formula>
    </cfRule>
    <cfRule type="expression" dxfId="3317" priority="2750">
      <formula>$AE158=3</formula>
    </cfRule>
    <cfRule type="expression" dxfId="3316" priority="2751">
      <formula>$AE158=2</formula>
    </cfRule>
    <cfRule type="expression" dxfId="3315" priority="2752">
      <formula>$AE158=1</formula>
    </cfRule>
  </conditionalFormatting>
  <conditionalFormatting sqref="X158:Y158">
    <cfRule type="expression" dxfId="3314" priority="2745">
      <formula>$AF158=4</formula>
    </cfRule>
    <cfRule type="expression" dxfId="3313" priority="2746">
      <formula>$AF158=3</formula>
    </cfRule>
    <cfRule type="expression" dxfId="3312" priority="2747">
      <formula>$AF158=2</formula>
    </cfRule>
    <cfRule type="expression" dxfId="3311" priority="2748">
      <formula>$AF158=1</formula>
    </cfRule>
  </conditionalFormatting>
  <conditionalFormatting sqref="X158:Y158">
    <cfRule type="expression" dxfId="3310" priority="2744">
      <formula>$AC158=2</formula>
    </cfRule>
  </conditionalFormatting>
  <conditionalFormatting sqref="J158:K158">
    <cfRule type="expression" dxfId="3309" priority="2735">
      <formula>$AD158=4</formula>
    </cfRule>
    <cfRule type="expression" dxfId="3308" priority="2736">
      <formula>$AD158=3</formula>
    </cfRule>
    <cfRule type="expression" dxfId="3307" priority="2737">
      <formula>$AD158=2</formula>
    </cfRule>
    <cfRule type="expression" dxfId="3306" priority="2738">
      <formula>$AD158=1</formula>
    </cfRule>
  </conditionalFormatting>
  <conditionalFormatting sqref="J158:K158">
    <cfRule type="expression" dxfId="3305" priority="2734">
      <formula>$AC158=2</formula>
    </cfRule>
  </conditionalFormatting>
  <conditionalFormatting sqref="L158">
    <cfRule type="expression" dxfId="3304" priority="2733">
      <formula>$AC158=2</formula>
    </cfRule>
  </conditionalFormatting>
  <conditionalFormatting sqref="O158">
    <cfRule type="expression" dxfId="3303" priority="2732">
      <formula>$AC158=2</formula>
    </cfRule>
  </conditionalFormatting>
  <conditionalFormatting sqref="V158">
    <cfRule type="expression" dxfId="3302" priority="2731">
      <formula>$AC158=2</formula>
    </cfRule>
  </conditionalFormatting>
  <conditionalFormatting sqref="Q160:R160">
    <cfRule type="expression" dxfId="3301" priority="2727">
      <formula>$AE160=4</formula>
    </cfRule>
    <cfRule type="expression" dxfId="3300" priority="2728">
      <formula>$AE160=3</formula>
    </cfRule>
    <cfRule type="expression" dxfId="3299" priority="2729">
      <formula>$AE160=2</formula>
    </cfRule>
    <cfRule type="expression" dxfId="3298" priority="2730">
      <formula>$AE160=1</formula>
    </cfRule>
  </conditionalFormatting>
  <conditionalFormatting sqref="X160:Y160">
    <cfRule type="expression" dxfId="3297" priority="2723">
      <formula>$AF160=4</formula>
    </cfRule>
    <cfRule type="expression" dxfId="3296" priority="2724">
      <formula>$AF160=3</formula>
    </cfRule>
    <cfRule type="expression" dxfId="3295" priority="2725">
      <formula>$AF160=2</formula>
    </cfRule>
    <cfRule type="expression" dxfId="3294" priority="2726">
      <formula>$AF160=1</formula>
    </cfRule>
  </conditionalFormatting>
  <conditionalFormatting sqref="X160:Y160">
    <cfRule type="expression" dxfId="3293" priority="2722">
      <formula>$AC160=2</formula>
    </cfRule>
  </conditionalFormatting>
  <conditionalFormatting sqref="J160:K160">
    <cfRule type="expression" dxfId="3292" priority="2713">
      <formula>$AD160=4</formula>
    </cfRule>
    <cfRule type="expression" dxfId="3291" priority="2714">
      <formula>$AD160=3</formula>
    </cfRule>
    <cfRule type="expression" dxfId="3290" priority="2715">
      <formula>$AD160=2</formula>
    </cfRule>
    <cfRule type="expression" dxfId="3289" priority="2716">
      <formula>$AD160=1</formula>
    </cfRule>
  </conditionalFormatting>
  <conditionalFormatting sqref="J160:K160">
    <cfRule type="expression" dxfId="3288" priority="2712">
      <formula>$AC160=2</formula>
    </cfRule>
  </conditionalFormatting>
  <conditionalFormatting sqref="L160">
    <cfRule type="expression" dxfId="3287" priority="2711">
      <formula>$AC160=2</formula>
    </cfRule>
  </conditionalFormatting>
  <conditionalFormatting sqref="O160">
    <cfRule type="expression" dxfId="3286" priority="2710">
      <formula>$AC160=2</formula>
    </cfRule>
  </conditionalFormatting>
  <conditionalFormatting sqref="V160">
    <cfRule type="expression" dxfId="3285" priority="2709">
      <formula>$AC160=2</formula>
    </cfRule>
  </conditionalFormatting>
  <conditionalFormatting sqref="Q168:R168">
    <cfRule type="expression" dxfId="3284" priority="2705">
      <formula>$AE168=4</formula>
    </cfRule>
    <cfRule type="expression" dxfId="3283" priority="2706">
      <formula>$AE168=3</formula>
    </cfRule>
    <cfRule type="expression" dxfId="3282" priority="2707">
      <formula>$AE168=2</formula>
    </cfRule>
    <cfRule type="expression" dxfId="3281" priority="2708">
      <formula>$AE168=1</formula>
    </cfRule>
  </conditionalFormatting>
  <conditionalFormatting sqref="X168:Y168">
    <cfRule type="expression" dxfId="3280" priority="2701">
      <formula>$AF168=4</formula>
    </cfRule>
    <cfRule type="expression" dxfId="3279" priority="2702">
      <formula>$AF168=3</formula>
    </cfRule>
    <cfRule type="expression" dxfId="3278" priority="2703">
      <formula>$AF168=2</formula>
    </cfRule>
    <cfRule type="expression" dxfId="3277" priority="2704">
      <formula>$AF168=1</formula>
    </cfRule>
  </conditionalFormatting>
  <conditionalFormatting sqref="X168:Y168">
    <cfRule type="expression" dxfId="3276" priority="2700">
      <formula>$AC168=2</formula>
    </cfRule>
  </conditionalFormatting>
  <conditionalFormatting sqref="J168:K168">
    <cfRule type="expression" dxfId="3275" priority="2691">
      <formula>$AD168=4</formula>
    </cfRule>
    <cfRule type="expression" dxfId="3274" priority="2692">
      <formula>$AD168=3</formula>
    </cfRule>
    <cfRule type="expression" dxfId="3273" priority="2693">
      <formula>$AD168=2</formula>
    </cfRule>
    <cfRule type="expression" dxfId="3272" priority="2694">
      <formula>$AD168=1</formula>
    </cfRule>
  </conditionalFormatting>
  <conditionalFormatting sqref="J168:K168">
    <cfRule type="expression" dxfId="3271" priority="2690">
      <formula>$AC168=2</formula>
    </cfRule>
  </conditionalFormatting>
  <conditionalFormatting sqref="L168">
    <cfRule type="expression" dxfId="3270" priority="2689">
      <formula>$AC168=2</formula>
    </cfRule>
  </conditionalFormatting>
  <conditionalFormatting sqref="O168">
    <cfRule type="expression" dxfId="3269" priority="2688">
      <formula>$AC168=2</formula>
    </cfRule>
  </conditionalFormatting>
  <conditionalFormatting sqref="V168">
    <cfRule type="expression" dxfId="3268" priority="2687">
      <formula>$AC168=2</formula>
    </cfRule>
  </conditionalFormatting>
  <conditionalFormatting sqref="Q172:R173">
    <cfRule type="expression" dxfId="3267" priority="2683">
      <formula>$AE172=4</formula>
    </cfRule>
    <cfRule type="expression" dxfId="3266" priority="2684">
      <formula>$AE172=3</formula>
    </cfRule>
    <cfRule type="expression" dxfId="3265" priority="2685">
      <formula>$AE172=2</formula>
    </cfRule>
    <cfRule type="expression" dxfId="3264" priority="2686">
      <formula>$AE172=1</formula>
    </cfRule>
  </conditionalFormatting>
  <conditionalFormatting sqref="X172:Y173">
    <cfRule type="expression" dxfId="3263" priority="2679">
      <formula>$AF172=4</formula>
    </cfRule>
    <cfRule type="expression" dxfId="3262" priority="2680">
      <formula>$AF172=3</formula>
    </cfRule>
    <cfRule type="expression" dxfId="3261" priority="2681">
      <formula>$AF172=2</formula>
    </cfRule>
    <cfRule type="expression" dxfId="3260" priority="2682">
      <formula>$AF172=1</formula>
    </cfRule>
  </conditionalFormatting>
  <conditionalFormatting sqref="X172:Y173">
    <cfRule type="expression" dxfId="3259" priority="2678">
      <formula>$AC172=2</formula>
    </cfRule>
  </conditionalFormatting>
  <conditionalFormatting sqref="J172:K173">
    <cfRule type="expression" dxfId="3258" priority="2669">
      <formula>$AD172=4</formula>
    </cfRule>
    <cfRule type="expression" dxfId="3257" priority="2670">
      <formula>$AD172=3</formula>
    </cfRule>
    <cfRule type="expression" dxfId="3256" priority="2671">
      <formula>$AD172=2</formula>
    </cfRule>
    <cfRule type="expression" dxfId="3255" priority="2672">
      <formula>$AD172=1</formula>
    </cfRule>
  </conditionalFormatting>
  <conditionalFormatting sqref="J172:K173">
    <cfRule type="expression" dxfId="3254" priority="2668">
      <formula>$AC172=2</formula>
    </cfRule>
  </conditionalFormatting>
  <conditionalFormatting sqref="L172:L173">
    <cfRule type="expression" dxfId="3253" priority="2667">
      <formula>$AC172=2</formula>
    </cfRule>
  </conditionalFormatting>
  <conditionalFormatting sqref="O172:O173">
    <cfRule type="expression" dxfId="3252" priority="2666">
      <formula>$AC172=2</formula>
    </cfRule>
  </conditionalFormatting>
  <conditionalFormatting sqref="V172:V173">
    <cfRule type="expression" dxfId="3251" priority="2665">
      <formula>$AC172=2</formula>
    </cfRule>
  </conditionalFormatting>
  <conditionalFormatting sqref="Q176:R176">
    <cfRule type="expression" dxfId="3250" priority="2661">
      <formula>$AE176=4</formula>
    </cfRule>
    <cfRule type="expression" dxfId="3249" priority="2662">
      <formula>$AE176=3</formula>
    </cfRule>
    <cfRule type="expression" dxfId="3248" priority="2663">
      <formula>$AE176=2</formula>
    </cfRule>
    <cfRule type="expression" dxfId="3247" priority="2664">
      <formula>$AE176=1</formula>
    </cfRule>
  </conditionalFormatting>
  <conditionalFormatting sqref="X176:Y176">
    <cfRule type="expression" dxfId="3246" priority="2657">
      <formula>$AF176=4</formula>
    </cfRule>
    <cfRule type="expression" dxfId="3245" priority="2658">
      <formula>$AF176=3</formula>
    </cfRule>
    <cfRule type="expression" dxfId="3244" priority="2659">
      <formula>$AF176=2</formula>
    </cfRule>
    <cfRule type="expression" dxfId="3243" priority="2660">
      <formula>$AF176=1</formula>
    </cfRule>
  </conditionalFormatting>
  <conditionalFormatting sqref="X176:Y176">
    <cfRule type="expression" dxfId="3242" priority="2656">
      <formula>$AC176=2</formula>
    </cfRule>
  </conditionalFormatting>
  <conditionalFormatting sqref="J176:K176">
    <cfRule type="expression" dxfId="3241" priority="2647">
      <formula>$AD176=4</formula>
    </cfRule>
    <cfRule type="expression" dxfId="3240" priority="2648">
      <formula>$AD176=3</formula>
    </cfRule>
    <cfRule type="expression" dxfId="3239" priority="2649">
      <formula>$AD176=2</formula>
    </cfRule>
    <cfRule type="expression" dxfId="3238" priority="2650">
      <formula>$AD176=1</formula>
    </cfRule>
  </conditionalFormatting>
  <conditionalFormatting sqref="J176:K176">
    <cfRule type="expression" dxfId="3237" priority="2646">
      <formula>$AC176=2</formula>
    </cfRule>
  </conditionalFormatting>
  <conditionalFormatting sqref="L176">
    <cfRule type="expression" dxfId="3236" priority="2645">
      <formula>$AC176=2</formula>
    </cfRule>
  </conditionalFormatting>
  <conditionalFormatting sqref="O176">
    <cfRule type="expression" dxfId="3235" priority="2644">
      <formula>$AC176=2</formula>
    </cfRule>
  </conditionalFormatting>
  <conditionalFormatting sqref="V176">
    <cfRule type="expression" dxfId="3234" priority="2643">
      <formula>$AC176=2</formula>
    </cfRule>
  </conditionalFormatting>
  <conditionalFormatting sqref="Q180:R180">
    <cfRule type="expression" dxfId="3233" priority="2639">
      <formula>$AE180=4</formula>
    </cfRule>
    <cfRule type="expression" dxfId="3232" priority="2640">
      <formula>$AE180=3</formula>
    </cfRule>
    <cfRule type="expression" dxfId="3231" priority="2641">
      <formula>$AE180=2</formula>
    </cfRule>
    <cfRule type="expression" dxfId="3230" priority="2642">
      <formula>$AE180=1</formula>
    </cfRule>
  </conditionalFormatting>
  <conditionalFormatting sqref="X180:Y180">
    <cfRule type="expression" dxfId="3229" priority="2635">
      <formula>$AF180=4</formula>
    </cfRule>
    <cfRule type="expression" dxfId="3228" priority="2636">
      <formula>$AF180=3</formula>
    </cfRule>
    <cfRule type="expression" dxfId="3227" priority="2637">
      <formula>$AF180=2</formula>
    </cfRule>
    <cfRule type="expression" dxfId="3226" priority="2638">
      <formula>$AF180=1</formula>
    </cfRule>
  </conditionalFormatting>
  <conditionalFormatting sqref="X180:Y180">
    <cfRule type="expression" dxfId="3225" priority="2634">
      <formula>$AC180=2</formula>
    </cfRule>
  </conditionalFormatting>
  <conditionalFormatting sqref="J180:K180">
    <cfRule type="expression" dxfId="3224" priority="2625">
      <formula>$AD180=4</formula>
    </cfRule>
    <cfRule type="expression" dxfId="3223" priority="2626">
      <formula>$AD180=3</formula>
    </cfRule>
    <cfRule type="expression" dxfId="3222" priority="2627">
      <formula>$AD180=2</formula>
    </cfRule>
    <cfRule type="expression" dxfId="3221" priority="2628">
      <formula>$AD180=1</formula>
    </cfRule>
  </conditionalFormatting>
  <conditionalFormatting sqref="J180:K180">
    <cfRule type="expression" dxfId="3220" priority="2624">
      <formula>$AC180=2</formula>
    </cfRule>
  </conditionalFormatting>
  <conditionalFormatting sqref="L180">
    <cfRule type="expression" dxfId="3219" priority="2623">
      <formula>$AC180=2</formula>
    </cfRule>
  </conditionalFormatting>
  <conditionalFormatting sqref="O180">
    <cfRule type="expression" dxfId="3218" priority="2622">
      <formula>$AC180=2</formula>
    </cfRule>
  </conditionalFormatting>
  <conditionalFormatting sqref="V180">
    <cfRule type="expression" dxfId="3217" priority="2621">
      <formula>$AC180=2</formula>
    </cfRule>
  </conditionalFormatting>
  <conditionalFormatting sqref="Q184:R184">
    <cfRule type="expression" dxfId="3216" priority="2617">
      <formula>$AE184=4</formula>
    </cfRule>
    <cfRule type="expression" dxfId="3215" priority="2618">
      <formula>$AE184=3</formula>
    </cfRule>
    <cfRule type="expression" dxfId="3214" priority="2619">
      <formula>$AE184=2</formula>
    </cfRule>
    <cfRule type="expression" dxfId="3213" priority="2620">
      <formula>$AE184=1</formula>
    </cfRule>
  </conditionalFormatting>
  <conditionalFormatting sqref="X184:Y184">
    <cfRule type="expression" dxfId="3212" priority="2613">
      <formula>$AF184=4</formula>
    </cfRule>
    <cfRule type="expression" dxfId="3211" priority="2614">
      <formula>$AF184=3</formula>
    </cfRule>
    <cfRule type="expression" dxfId="3210" priority="2615">
      <formula>$AF184=2</formula>
    </cfRule>
    <cfRule type="expression" dxfId="3209" priority="2616">
      <formula>$AF184=1</formula>
    </cfRule>
  </conditionalFormatting>
  <conditionalFormatting sqref="X184:Y184">
    <cfRule type="expression" dxfId="3208" priority="2612">
      <formula>$AC184=2</formula>
    </cfRule>
  </conditionalFormatting>
  <conditionalFormatting sqref="J184:K184">
    <cfRule type="expression" dxfId="3207" priority="2603">
      <formula>$AD184=4</formula>
    </cfRule>
    <cfRule type="expression" dxfId="3206" priority="2604">
      <formula>$AD184=3</formula>
    </cfRule>
    <cfRule type="expression" dxfId="3205" priority="2605">
      <formula>$AD184=2</formula>
    </cfRule>
    <cfRule type="expression" dxfId="3204" priority="2606">
      <formula>$AD184=1</formula>
    </cfRule>
  </conditionalFormatting>
  <conditionalFormatting sqref="J184:K184">
    <cfRule type="expression" dxfId="3203" priority="2602">
      <formula>$AC184=2</formula>
    </cfRule>
  </conditionalFormatting>
  <conditionalFormatting sqref="L184">
    <cfRule type="expression" dxfId="3202" priority="2601">
      <formula>$AC184=2</formula>
    </cfRule>
  </conditionalFormatting>
  <conditionalFormatting sqref="O184">
    <cfRule type="expression" dxfId="3201" priority="2600">
      <formula>$AC184=2</formula>
    </cfRule>
  </conditionalFormatting>
  <conditionalFormatting sqref="V184">
    <cfRule type="expression" dxfId="3200" priority="2599">
      <formula>$AC184=2</formula>
    </cfRule>
  </conditionalFormatting>
  <conditionalFormatting sqref="Q186:R186">
    <cfRule type="expression" dxfId="3199" priority="2595">
      <formula>$AE186=4</formula>
    </cfRule>
    <cfRule type="expression" dxfId="3198" priority="2596">
      <formula>$AE186=3</formula>
    </cfRule>
    <cfRule type="expression" dxfId="3197" priority="2597">
      <formula>$AE186=2</formula>
    </cfRule>
    <cfRule type="expression" dxfId="3196" priority="2598">
      <formula>$AE186=1</formula>
    </cfRule>
  </conditionalFormatting>
  <conditionalFormatting sqref="X186:Y186">
    <cfRule type="expression" dxfId="3195" priority="2591">
      <formula>$AF186=4</formula>
    </cfRule>
    <cfRule type="expression" dxfId="3194" priority="2592">
      <formula>$AF186=3</formula>
    </cfRule>
    <cfRule type="expression" dxfId="3193" priority="2593">
      <formula>$AF186=2</formula>
    </cfRule>
    <cfRule type="expression" dxfId="3192" priority="2594">
      <formula>$AF186=1</formula>
    </cfRule>
  </conditionalFormatting>
  <conditionalFormatting sqref="X186:Y186">
    <cfRule type="expression" dxfId="3191" priority="2590">
      <formula>$AC186=2</formula>
    </cfRule>
  </conditionalFormatting>
  <conditionalFormatting sqref="J186:K186">
    <cfRule type="expression" dxfId="3190" priority="2581">
      <formula>$AD186=4</formula>
    </cfRule>
    <cfRule type="expression" dxfId="3189" priority="2582">
      <formula>$AD186=3</formula>
    </cfRule>
    <cfRule type="expression" dxfId="3188" priority="2583">
      <formula>$AD186=2</formula>
    </cfRule>
    <cfRule type="expression" dxfId="3187" priority="2584">
      <formula>$AD186=1</formula>
    </cfRule>
  </conditionalFormatting>
  <conditionalFormatting sqref="J186:K186">
    <cfRule type="expression" dxfId="3186" priority="2580">
      <formula>$AC186=2</formula>
    </cfRule>
  </conditionalFormatting>
  <conditionalFormatting sqref="L186">
    <cfRule type="expression" dxfId="3185" priority="2579">
      <formula>$AC186=2</formula>
    </cfRule>
  </conditionalFormatting>
  <conditionalFormatting sqref="O186">
    <cfRule type="expression" dxfId="3184" priority="2578">
      <formula>$AC186=2</formula>
    </cfRule>
  </conditionalFormatting>
  <conditionalFormatting sqref="V186">
    <cfRule type="expression" dxfId="3183" priority="2577">
      <formula>$AC186=2</formula>
    </cfRule>
  </conditionalFormatting>
  <conditionalFormatting sqref="Q189:R189">
    <cfRule type="expression" dxfId="3182" priority="2573">
      <formula>$AE189=4</formula>
    </cfRule>
    <cfRule type="expression" dxfId="3181" priority="2574">
      <formula>$AE189=3</formula>
    </cfRule>
    <cfRule type="expression" dxfId="3180" priority="2575">
      <formula>$AE189=2</formula>
    </cfRule>
    <cfRule type="expression" dxfId="3179" priority="2576">
      <formula>$AE189=1</formula>
    </cfRule>
  </conditionalFormatting>
  <conditionalFormatting sqref="X189:Y189">
    <cfRule type="expression" dxfId="3178" priority="2569">
      <formula>$AF189=4</formula>
    </cfRule>
    <cfRule type="expression" dxfId="3177" priority="2570">
      <formula>$AF189=3</formula>
    </cfRule>
    <cfRule type="expression" dxfId="3176" priority="2571">
      <formula>$AF189=2</formula>
    </cfRule>
    <cfRule type="expression" dxfId="3175" priority="2572">
      <formula>$AF189=1</formula>
    </cfRule>
  </conditionalFormatting>
  <conditionalFormatting sqref="X189:Y189">
    <cfRule type="expression" dxfId="3174" priority="2568">
      <formula>$AC189=2</formula>
    </cfRule>
  </conditionalFormatting>
  <conditionalFormatting sqref="J189:K189">
    <cfRule type="expression" dxfId="3173" priority="2559">
      <formula>$AD189=4</formula>
    </cfRule>
    <cfRule type="expression" dxfId="3172" priority="2560">
      <formula>$AD189=3</formula>
    </cfRule>
    <cfRule type="expression" dxfId="3171" priority="2561">
      <formula>$AD189=2</formula>
    </cfRule>
    <cfRule type="expression" dxfId="3170" priority="2562">
      <formula>$AD189=1</formula>
    </cfRule>
  </conditionalFormatting>
  <conditionalFormatting sqref="J189:K189">
    <cfRule type="expression" dxfId="3169" priority="2558">
      <formula>$AC189=2</formula>
    </cfRule>
  </conditionalFormatting>
  <conditionalFormatting sqref="L189">
    <cfRule type="expression" dxfId="3168" priority="2557">
      <formula>$AC189=2</formula>
    </cfRule>
  </conditionalFormatting>
  <conditionalFormatting sqref="O189">
    <cfRule type="expression" dxfId="3167" priority="2556">
      <formula>$AC189=2</formula>
    </cfRule>
  </conditionalFormatting>
  <conditionalFormatting sqref="V189">
    <cfRule type="expression" dxfId="3166" priority="2555">
      <formula>$AC189=2</formula>
    </cfRule>
  </conditionalFormatting>
  <conditionalFormatting sqref="Q202:R202">
    <cfRule type="expression" dxfId="3165" priority="2551">
      <formula>$AE202=4</formula>
    </cfRule>
    <cfRule type="expression" dxfId="3164" priority="2552">
      <formula>$AE202=3</formula>
    </cfRule>
    <cfRule type="expression" dxfId="3163" priority="2553">
      <formula>$AE202=2</formula>
    </cfRule>
    <cfRule type="expression" dxfId="3162" priority="2554">
      <formula>$AE202=1</formula>
    </cfRule>
  </conditionalFormatting>
  <conditionalFormatting sqref="X202:Y202">
    <cfRule type="expression" dxfId="3161" priority="2547">
      <formula>$AF202=4</formula>
    </cfRule>
    <cfRule type="expression" dxfId="3160" priority="2548">
      <formula>$AF202=3</formula>
    </cfRule>
    <cfRule type="expression" dxfId="3159" priority="2549">
      <formula>$AF202=2</formula>
    </cfRule>
    <cfRule type="expression" dxfId="3158" priority="2550">
      <formula>$AF202=1</formula>
    </cfRule>
  </conditionalFormatting>
  <conditionalFormatting sqref="X202:Y202">
    <cfRule type="expression" dxfId="3157" priority="2546">
      <formula>$AC202=2</formula>
    </cfRule>
  </conditionalFormatting>
  <conditionalFormatting sqref="J202:K202">
    <cfRule type="expression" dxfId="3156" priority="2537">
      <formula>$AD202=4</formula>
    </cfRule>
    <cfRule type="expression" dxfId="3155" priority="2538">
      <formula>$AD202=3</formula>
    </cfRule>
    <cfRule type="expression" dxfId="3154" priority="2539">
      <formula>$AD202=2</formula>
    </cfRule>
    <cfRule type="expression" dxfId="3153" priority="2540">
      <formula>$AD202=1</formula>
    </cfRule>
  </conditionalFormatting>
  <conditionalFormatting sqref="J202:K202">
    <cfRule type="expression" dxfId="3152" priority="2536">
      <formula>$AC202=2</formula>
    </cfRule>
  </conditionalFormatting>
  <conditionalFormatting sqref="L202">
    <cfRule type="expression" dxfId="3151" priority="2535">
      <formula>$AC202=2</formula>
    </cfRule>
  </conditionalFormatting>
  <conditionalFormatting sqref="O202">
    <cfRule type="expression" dxfId="3150" priority="2534">
      <formula>$AC202=2</formula>
    </cfRule>
  </conditionalFormatting>
  <conditionalFormatting sqref="V202">
    <cfRule type="expression" dxfId="3149" priority="2533">
      <formula>$AC202=2</formula>
    </cfRule>
  </conditionalFormatting>
  <conditionalFormatting sqref="Q205:R205">
    <cfRule type="expression" dxfId="3148" priority="2529">
      <formula>$AE205=4</formula>
    </cfRule>
    <cfRule type="expression" dxfId="3147" priority="2530">
      <formula>$AE205=3</formula>
    </cfRule>
    <cfRule type="expression" dxfId="3146" priority="2531">
      <formula>$AE205=2</formula>
    </cfRule>
    <cfRule type="expression" dxfId="3145" priority="2532">
      <formula>$AE205=1</formula>
    </cfRule>
  </conditionalFormatting>
  <conditionalFormatting sqref="X205:Y205">
    <cfRule type="expression" dxfId="3144" priority="2525">
      <formula>$AF205=4</formula>
    </cfRule>
    <cfRule type="expression" dxfId="3143" priority="2526">
      <formula>$AF205=3</formula>
    </cfRule>
    <cfRule type="expression" dxfId="3142" priority="2527">
      <formula>$AF205=2</formula>
    </cfRule>
    <cfRule type="expression" dxfId="3141" priority="2528">
      <formula>$AF205=1</formula>
    </cfRule>
  </conditionalFormatting>
  <conditionalFormatting sqref="X205:Y205">
    <cfRule type="expression" dxfId="3140" priority="2524">
      <formula>$AC205=2</formula>
    </cfRule>
  </conditionalFormatting>
  <conditionalFormatting sqref="J205:K205">
    <cfRule type="expression" dxfId="3139" priority="2515">
      <formula>$AD205=4</formula>
    </cfRule>
    <cfRule type="expression" dxfId="3138" priority="2516">
      <formula>$AD205=3</formula>
    </cfRule>
    <cfRule type="expression" dxfId="3137" priority="2517">
      <formula>$AD205=2</formula>
    </cfRule>
    <cfRule type="expression" dxfId="3136" priority="2518">
      <formula>$AD205=1</formula>
    </cfRule>
  </conditionalFormatting>
  <conditionalFormatting sqref="J205:K205">
    <cfRule type="expression" dxfId="3135" priority="2514">
      <formula>$AC205=2</formula>
    </cfRule>
  </conditionalFormatting>
  <conditionalFormatting sqref="L205">
    <cfRule type="expression" dxfId="3134" priority="2513">
      <formula>$AC205=2</formula>
    </cfRule>
  </conditionalFormatting>
  <conditionalFormatting sqref="O205">
    <cfRule type="expression" dxfId="3133" priority="2512">
      <formula>$AC205=2</formula>
    </cfRule>
  </conditionalFormatting>
  <conditionalFormatting sqref="V205">
    <cfRule type="expression" dxfId="3132" priority="2511">
      <formula>$AC205=2</formula>
    </cfRule>
  </conditionalFormatting>
  <conditionalFormatting sqref="Q208:R208">
    <cfRule type="expression" dxfId="3131" priority="2507">
      <formula>$AE208=4</formula>
    </cfRule>
    <cfRule type="expression" dxfId="3130" priority="2508">
      <formula>$AE208=3</formula>
    </cfRule>
    <cfRule type="expression" dxfId="3129" priority="2509">
      <formula>$AE208=2</formula>
    </cfRule>
    <cfRule type="expression" dxfId="3128" priority="2510">
      <formula>$AE208=1</formula>
    </cfRule>
  </conditionalFormatting>
  <conditionalFormatting sqref="X208:Y208">
    <cfRule type="expression" dxfId="3127" priority="2503">
      <formula>$AF208=4</formula>
    </cfRule>
    <cfRule type="expression" dxfId="3126" priority="2504">
      <formula>$AF208=3</formula>
    </cfRule>
    <cfRule type="expression" dxfId="3125" priority="2505">
      <formula>$AF208=2</formula>
    </cfRule>
    <cfRule type="expression" dxfId="3124" priority="2506">
      <formula>$AF208=1</formula>
    </cfRule>
  </conditionalFormatting>
  <conditionalFormatting sqref="X208:Y208">
    <cfRule type="expression" dxfId="3123" priority="2502">
      <formula>$AC208=2</formula>
    </cfRule>
  </conditionalFormatting>
  <conditionalFormatting sqref="J208:K208">
    <cfRule type="expression" dxfId="3122" priority="2493">
      <formula>$AD208=4</formula>
    </cfRule>
    <cfRule type="expression" dxfId="3121" priority="2494">
      <formula>$AD208=3</formula>
    </cfRule>
    <cfRule type="expression" dxfId="3120" priority="2495">
      <formula>$AD208=2</formula>
    </cfRule>
    <cfRule type="expression" dxfId="3119" priority="2496">
      <formula>$AD208=1</formula>
    </cfRule>
  </conditionalFormatting>
  <conditionalFormatting sqref="J208:K208">
    <cfRule type="expression" dxfId="3118" priority="2492">
      <formula>$AC208=2</formula>
    </cfRule>
  </conditionalFormatting>
  <conditionalFormatting sqref="L208">
    <cfRule type="expression" dxfId="3117" priority="2491">
      <formula>$AC208=2</formula>
    </cfRule>
  </conditionalFormatting>
  <conditionalFormatting sqref="O208">
    <cfRule type="expression" dxfId="3116" priority="2490">
      <formula>$AC208=2</formula>
    </cfRule>
  </conditionalFormatting>
  <conditionalFormatting sqref="V208">
    <cfRule type="expression" dxfId="3115" priority="2489">
      <formula>$AC208=2</formula>
    </cfRule>
  </conditionalFormatting>
  <conditionalFormatting sqref="Q42:R46">
    <cfRule type="expression" dxfId="3114" priority="2485">
      <formula>$AE42=4</formula>
    </cfRule>
    <cfRule type="expression" dxfId="3113" priority="2486">
      <formula>$AE42=3</formula>
    </cfRule>
    <cfRule type="expression" dxfId="3112" priority="2487">
      <formula>$AE42=2</formula>
    </cfRule>
    <cfRule type="expression" dxfId="3111" priority="2488">
      <formula>$AE42=1</formula>
    </cfRule>
  </conditionalFormatting>
  <conditionalFormatting sqref="X42:Y46">
    <cfRule type="expression" dxfId="3110" priority="2481">
      <formula>$AF42=4</formula>
    </cfRule>
    <cfRule type="expression" dxfId="3109" priority="2482">
      <formula>$AF42=3</formula>
    </cfRule>
    <cfRule type="expression" dxfId="3108" priority="2483">
      <formula>$AF42=2</formula>
    </cfRule>
    <cfRule type="expression" dxfId="3107" priority="2484">
      <formula>$AF42=1</formula>
    </cfRule>
  </conditionalFormatting>
  <conditionalFormatting sqref="N42:N46">
    <cfRule type="expression" dxfId="3106" priority="2480">
      <formula>$AC42=2</formula>
    </cfRule>
  </conditionalFormatting>
  <conditionalFormatting sqref="N42:N46">
    <cfRule type="expression" dxfId="3105" priority="2479">
      <formula>N42&gt;F42</formula>
    </cfRule>
  </conditionalFormatting>
  <conditionalFormatting sqref="G42:G46">
    <cfRule type="expression" dxfId="3104" priority="2466">
      <formula>G42&gt;F42</formula>
    </cfRule>
  </conditionalFormatting>
  <conditionalFormatting sqref="J42:K46">
    <cfRule type="expression" dxfId="3103" priority="2470">
      <formula>$AD42=4</formula>
    </cfRule>
    <cfRule type="expression" dxfId="3102" priority="2471">
      <formula>$AD42=3</formula>
    </cfRule>
    <cfRule type="expression" dxfId="3101" priority="2472">
      <formula>$AD42=2</formula>
    </cfRule>
    <cfRule type="expression" dxfId="3100" priority="2473">
      <formula>$AD42=1</formula>
    </cfRule>
  </conditionalFormatting>
  <conditionalFormatting sqref="J42:K46">
    <cfRule type="expression" dxfId="3099" priority="2469">
      <formula>$AC42=2</formula>
    </cfRule>
  </conditionalFormatting>
  <conditionalFormatting sqref="L42:L46">
    <cfRule type="expression" dxfId="3098" priority="2468">
      <formula>$AC42=2</formula>
    </cfRule>
  </conditionalFormatting>
  <conditionalFormatting sqref="G42:G46">
    <cfRule type="expression" dxfId="3097" priority="2467">
      <formula>$AC42=2</formula>
    </cfRule>
  </conditionalFormatting>
  <conditionalFormatting sqref="O42:O46">
    <cfRule type="expression" dxfId="3096" priority="2465">
      <formula>$AC42=2</formula>
    </cfRule>
  </conditionalFormatting>
  <conditionalFormatting sqref="V42:V46">
    <cfRule type="expression" dxfId="3095" priority="2464">
      <formula>$AC42=2</formula>
    </cfRule>
  </conditionalFormatting>
  <conditionalFormatting sqref="U42:U46">
    <cfRule type="expression" dxfId="3094" priority="2463">
      <formula>$AC42=2</formula>
    </cfRule>
  </conditionalFormatting>
  <conditionalFormatting sqref="U42:U46">
    <cfRule type="expression" dxfId="3093" priority="2462">
      <formula>U42&gt;F42</formula>
    </cfRule>
  </conditionalFormatting>
  <conditionalFormatting sqref="Q48:R51">
    <cfRule type="expression" dxfId="3092" priority="2456">
      <formula>$AE48=4</formula>
    </cfRule>
    <cfRule type="expression" dxfId="3091" priority="2457">
      <formula>$AE48=3</formula>
    </cfRule>
    <cfRule type="expression" dxfId="3090" priority="2458">
      <formula>$AE48=2</formula>
    </cfRule>
    <cfRule type="expression" dxfId="3089" priority="2459">
      <formula>$AE48=1</formula>
    </cfRule>
  </conditionalFormatting>
  <conditionalFormatting sqref="X48:Y51">
    <cfRule type="expression" dxfId="3088" priority="2452">
      <formula>$AF48=4</formula>
    </cfRule>
    <cfRule type="expression" dxfId="3087" priority="2453">
      <formula>$AF48=3</formula>
    </cfRule>
    <cfRule type="expression" dxfId="3086" priority="2454">
      <formula>$AF48=2</formula>
    </cfRule>
    <cfRule type="expression" dxfId="3085" priority="2455">
      <formula>$AF48=1</formula>
    </cfRule>
  </conditionalFormatting>
  <conditionalFormatting sqref="N48:N51">
    <cfRule type="expression" dxfId="3084" priority="2451">
      <formula>$AC48=2</formula>
    </cfRule>
  </conditionalFormatting>
  <conditionalFormatting sqref="N48:N51">
    <cfRule type="expression" dxfId="3083" priority="2450">
      <formula>N48&gt;F48</formula>
    </cfRule>
  </conditionalFormatting>
  <conditionalFormatting sqref="G49:G51">
    <cfRule type="expression" dxfId="3082" priority="2437">
      <formula>G49&gt;F49</formula>
    </cfRule>
  </conditionalFormatting>
  <conditionalFormatting sqref="J48:K51">
    <cfRule type="expression" dxfId="3081" priority="2441">
      <formula>$AD48=4</formula>
    </cfRule>
    <cfRule type="expression" dxfId="3080" priority="2442">
      <formula>$AD48=3</formula>
    </cfRule>
    <cfRule type="expression" dxfId="3079" priority="2443">
      <formula>$AD48=2</formula>
    </cfRule>
    <cfRule type="expression" dxfId="3078" priority="2444">
      <formula>$AD48=1</formula>
    </cfRule>
  </conditionalFormatting>
  <conditionalFormatting sqref="J48:K51">
    <cfRule type="expression" dxfId="3077" priority="2440">
      <formula>$AC48=2</formula>
    </cfRule>
  </conditionalFormatting>
  <conditionalFormatting sqref="L48:L51">
    <cfRule type="expression" dxfId="3076" priority="2439">
      <formula>$AC48=2</formula>
    </cfRule>
  </conditionalFormatting>
  <conditionalFormatting sqref="G49:G51">
    <cfRule type="expression" dxfId="3075" priority="2438">
      <formula>$AC49=2</formula>
    </cfRule>
  </conditionalFormatting>
  <conditionalFormatting sqref="O48:O51">
    <cfRule type="expression" dxfId="3074" priority="2436">
      <formula>$AC48=2</formula>
    </cfRule>
  </conditionalFormatting>
  <conditionalFormatting sqref="V48:V51">
    <cfRule type="expression" dxfId="3073" priority="2435">
      <formula>$AC48=2</formula>
    </cfRule>
  </conditionalFormatting>
  <conditionalFormatting sqref="U48:U51">
    <cfRule type="expression" dxfId="3072" priority="2434">
      <formula>$AC48=2</formula>
    </cfRule>
  </conditionalFormatting>
  <conditionalFormatting sqref="U48:U51">
    <cfRule type="expression" dxfId="3071" priority="2433">
      <formula>U48&gt;F48</formula>
    </cfRule>
  </conditionalFormatting>
  <conditionalFormatting sqref="Q53:R55">
    <cfRule type="expression" dxfId="3070" priority="2427">
      <formula>$AE53=4</formula>
    </cfRule>
    <cfRule type="expression" dxfId="3069" priority="2428">
      <formula>$AE53=3</formula>
    </cfRule>
    <cfRule type="expression" dxfId="3068" priority="2429">
      <formula>$AE53=2</formula>
    </cfRule>
    <cfRule type="expression" dxfId="3067" priority="2430">
      <formula>$AE53=1</formula>
    </cfRule>
  </conditionalFormatting>
  <conditionalFormatting sqref="X53:Y55">
    <cfRule type="expression" dxfId="3066" priority="2423">
      <formula>$AF53=4</formula>
    </cfRule>
    <cfRule type="expression" dxfId="3065" priority="2424">
      <formula>$AF53=3</formula>
    </cfRule>
    <cfRule type="expression" dxfId="3064" priority="2425">
      <formula>$AF53=2</formula>
    </cfRule>
    <cfRule type="expression" dxfId="3063" priority="2426">
      <formula>$AF53=1</formula>
    </cfRule>
  </conditionalFormatting>
  <conditionalFormatting sqref="N53:N55">
    <cfRule type="expression" dxfId="3062" priority="2422">
      <formula>$AC53=2</formula>
    </cfRule>
  </conditionalFormatting>
  <conditionalFormatting sqref="N53:N55">
    <cfRule type="expression" dxfId="3061" priority="2421">
      <formula>N53&gt;F53</formula>
    </cfRule>
  </conditionalFormatting>
  <conditionalFormatting sqref="G53:G55">
    <cfRule type="expression" dxfId="3060" priority="2408">
      <formula>G53&gt;F53</formula>
    </cfRule>
  </conditionalFormatting>
  <conditionalFormatting sqref="J53:K55">
    <cfRule type="expression" dxfId="3059" priority="2412">
      <formula>$AD53=4</formula>
    </cfRule>
    <cfRule type="expression" dxfId="3058" priority="2413">
      <formula>$AD53=3</formula>
    </cfRule>
    <cfRule type="expression" dxfId="3057" priority="2414">
      <formula>$AD53=2</formula>
    </cfRule>
    <cfRule type="expression" dxfId="3056" priority="2415">
      <formula>$AD53=1</formula>
    </cfRule>
  </conditionalFormatting>
  <conditionalFormatting sqref="J53:K55">
    <cfRule type="expression" dxfId="3055" priority="2411">
      <formula>$AC53=2</formula>
    </cfRule>
  </conditionalFormatting>
  <conditionalFormatting sqref="L53:L55">
    <cfRule type="expression" dxfId="3054" priority="2410">
      <formula>$AC53=2</formula>
    </cfRule>
  </conditionalFormatting>
  <conditionalFormatting sqref="G53:G55">
    <cfRule type="expression" dxfId="3053" priority="2409">
      <formula>$AC53=2</formula>
    </cfRule>
  </conditionalFormatting>
  <conditionalFormatting sqref="O53:O55">
    <cfRule type="expression" dxfId="3052" priority="2407">
      <formula>$AC53=2</formula>
    </cfRule>
  </conditionalFormatting>
  <conditionalFormatting sqref="V53:V55">
    <cfRule type="expression" dxfId="3051" priority="2406">
      <formula>$AC53=2</formula>
    </cfRule>
  </conditionalFormatting>
  <conditionalFormatting sqref="U53:U55">
    <cfRule type="expression" dxfId="3050" priority="2404">
      <formula>U53&gt;F53</formula>
    </cfRule>
  </conditionalFormatting>
  <conditionalFormatting sqref="Q57:R58">
    <cfRule type="expression" dxfId="3049" priority="2398">
      <formula>$AE57=4</formula>
    </cfRule>
    <cfRule type="expression" dxfId="3048" priority="2399">
      <formula>$AE57=3</formula>
    </cfRule>
    <cfRule type="expression" dxfId="3047" priority="2400">
      <formula>$AE57=2</formula>
    </cfRule>
    <cfRule type="expression" dxfId="3046" priority="2401">
      <formula>$AE57=1</formula>
    </cfRule>
  </conditionalFormatting>
  <conditionalFormatting sqref="X57:Y58">
    <cfRule type="expression" dxfId="3045" priority="2394">
      <formula>$AF57=4</formula>
    </cfRule>
    <cfRule type="expression" dxfId="3044" priority="2395">
      <formula>$AF57=3</formula>
    </cfRule>
    <cfRule type="expression" dxfId="3043" priority="2396">
      <formula>$AF57=2</formula>
    </cfRule>
    <cfRule type="expression" dxfId="3042" priority="2397">
      <formula>$AF57=1</formula>
    </cfRule>
  </conditionalFormatting>
  <conditionalFormatting sqref="N58">
    <cfRule type="expression" dxfId="3041" priority="2393">
      <formula>$AC58=2</formula>
    </cfRule>
  </conditionalFormatting>
  <conditionalFormatting sqref="N58">
    <cfRule type="expression" dxfId="3040" priority="2392">
      <formula>N58&gt;F58</formula>
    </cfRule>
  </conditionalFormatting>
  <conditionalFormatting sqref="G58">
    <cfRule type="expression" dxfId="3039" priority="2379">
      <formula>G58&gt;F58</formula>
    </cfRule>
  </conditionalFormatting>
  <conditionalFormatting sqref="J57:K58">
    <cfRule type="expression" dxfId="3038" priority="2383">
      <formula>$AD57=4</formula>
    </cfRule>
    <cfRule type="expression" dxfId="3037" priority="2384">
      <formula>$AD57=3</formula>
    </cfRule>
    <cfRule type="expression" dxfId="3036" priority="2385">
      <formula>$AD57=2</formula>
    </cfRule>
    <cfRule type="expression" dxfId="3035" priority="2386">
      <formula>$AD57=1</formula>
    </cfRule>
  </conditionalFormatting>
  <conditionalFormatting sqref="J57:K58">
    <cfRule type="expression" dxfId="3034" priority="2382">
      <formula>$AC57=2</formula>
    </cfRule>
  </conditionalFormatting>
  <conditionalFormatting sqref="L57:L58">
    <cfRule type="expression" dxfId="3033" priority="2381">
      <formula>$AC57=2</formula>
    </cfRule>
  </conditionalFormatting>
  <conditionalFormatting sqref="G58">
    <cfRule type="expression" dxfId="3032" priority="2380">
      <formula>$AC58=2</formula>
    </cfRule>
  </conditionalFormatting>
  <conditionalFormatting sqref="O57:O58">
    <cfRule type="expression" dxfId="3031" priority="2378">
      <formula>$AC57=2</formula>
    </cfRule>
  </conditionalFormatting>
  <conditionalFormatting sqref="V57:V58">
    <cfRule type="expression" dxfId="3030" priority="2377">
      <formula>$AC57=2</formula>
    </cfRule>
  </conditionalFormatting>
  <conditionalFormatting sqref="U58">
    <cfRule type="expression" dxfId="3029" priority="2376">
      <formula>$AC58=2</formula>
    </cfRule>
  </conditionalFormatting>
  <conditionalFormatting sqref="U58">
    <cfRule type="expression" dxfId="3028" priority="2375">
      <formula>U58&gt;F58</formula>
    </cfRule>
  </conditionalFormatting>
  <conditionalFormatting sqref="Q60:R61">
    <cfRule type="expression" dxfId="3027" priority="2369">
      <formula>$AE60=4</formula>
    </cfRule>
    <cfRule type="expression" dxfId="3026" priority="2370">
      <formula>$AE60=3</formula>
    </cfRule>
    <cfRule type="expression" dxfId="3025" priority="2371">
      <formula>$AE60=2</formula>
    </cfRule>
    <cfRule type="expression" dxfId="3024" priority="2372">
      <formula>$AE60=1</formula>
    </cfRule>
  </conditionalFormatting>
  <conditionalFormatting sqref="X60:Y61">
    <cfRule type="expression" dxfId="3023" priority="2365">
      <formula>$AF60=4</formula>
    </cfRule>
    <cfRule type="expression" dxfId="3022" priority="2366">
      <formula>$AF60=3</formula>
    </cfRule>
    <cfRule type="expression" dxfId="3021" priority="2367">
      <formula>$AF60=2</formula>
    </cfRule>
    <cfRule type="expression" dxfId="3020" priority="2368">
      <formula>$AF60=1</formula>
    </cfRule>
  </conditionalFormatting>
  <conditionalFormatting sqref="N60:N61">
    <cfRule type="expression" dxfId="3019" priority="2364">
      <formula>$AC60=2</formula>
    </cfRule>
  </conditionalFormatting>
  <conditionalFormatting sqref="N60:N61">
    <cfRule type="expression" dxfId="3018" priority="2363">
      <formula>N60&gt;F60</formula>
    </cfRule>
  </conditionalFormatting>
  <conditionalFormatting sqref="G60:G61">
    <cfRule type="expression" dxfId="3017" priority="2350">
      <formula>G60&gt;F60</formula>
    </cfRule>
  </conditionalFormatting>
  <conditionalFormatting sqref="J60:K61">
    <cfRule type="expression" dxfId="3016" priority="2354">
      <formula>$AD60=4</formula>
    </cfRule>
    <cfRule type="expression" dxfId="3015" priority="2355">
      <formula>$AD60=3</formula>
    </cfRule>
    <cfRule type="expression" dxfId="3014" priority="2356">
      <formula>$AD60=2</formula>
    </cfRule>
    <cfRule type="expression" dxfId="3013" priority="2357">
      <formula>$AD60=1</formula>
    </cfRule>
  </conditionalFormatting>
  <conditionalFormatting sqref="J60:K61">
    <cfRule type="expression" dxfId="3012" priority="2353">
      <formula>$AC60=2</formula>
    </cfRule>
  </conditionalFormatting>
  <conditionalFormatting sqref="G60:G61">
    <cfRule type="expression" dxfId="3011" priority="2351">
      <formula>$AC60=2</formula>
    </cfRule>
  </conditionalFormatting>
  <conditionalFormatting sqref="V60:V61">
    <cfRule type="expression" dxfId="3010" priority="2348">
      <formula>$AC60=2</formula>
    </cfRule>
  </conditionalFormatting>
  <conditionalFormatting sqref="U60:U61">
    <cfRule type="expression" dxfId="3009" priority="2347">
      <formula>$AC60=2</formula>
    </cfRule>
  </conditionalFormatting>
  <conditionalFormatting sqref="U60:U61">
    <cfRule type="expression" dxfId="3008" priority="2346">
      <formula>U60&gt;F60</formula>
    </cfRule>
  </conditionalFormatting>
  <conditionalFormatting sqref="Q63:R63">
    <cfRule type="expression" dxfId="3007" priority="2340">
      <formula>$AE63=4</formula>
    </cfRule>
    <cfRule type="expression" dxfId="3006" priority="2341">
      <formula>$AE63=3</formula>
    </cfRule>
    <cfRule type="expression" dxfId="3005" priority="2342">
      <formula>$AE63=2</formula>
    </cfRule>
    <cfRule type="expression" dxfId="3004" priority="2343">
      <formula>$AE63=1</formula>
    </cfRule>
  </conditionalFormatting>
  <conditionalFormatting sqref="X63:Y63">
    <cfRule type="expression" dxfId="3003" priority="2336">
      <formula>$AF63=4</formula>
    </cfRule>
    <cfRule type="expression" dxfId="3002" priority="2337">
      <formula>$AF63=3</formula>
    </cfRule>
    <cfRule type="expression" dxfId="3001" priority="2338">
      <formula>$AF63=2</formula>
    </cfRule>
    <cfRule type="expression" dxfId="3000" priority="2339">
      <formula>$AF63=1</formula>
    </cfRule>
  </conditionalFormatting>
  <conditionalFormatting sqref="N63">
    <cfRule type="expression" dxfId="2999" priority="2335">
      <formula>$AC63=2</formula>
    </cfRule>
  </conditionalFormatting>
  <conditionalFormatting sqref="N63">
    <cfRule type="expression" dxfId="2998" priority="2334">
      <formula>N63&gt;F63</formula>
    </cfRule>
  </conditionalFormatting>
  <conditionalFormatting sqref="G63">
    <cfRule type="expression" dxfId="2997" priority="2321">
      <formula>G63&gt;F63</formula>
    </cfRule>
  </conditionalFormatting>
  <conditionalFormatting sqref="J63:K63">
    <cfRule type="expression" dxfId="2996" priority="2325">
      <formula>$AD63=4</formula>
    </cfRule>
    <cfRule type="expression" dxfId="2995" priority="2326">
      <formula>$AD63=3</formula>
    </cfRule>
    <cfRule type="expression" dxfId="2994" priority="2327">
      <formula>$AD63=2</formula>
    </cfRule>
    <cfRule type="expression" dxfId="2993" priority="2328">
      <formula>$AD63=1</formula>
    </cfRule>
  </conditionalFormatting>
  <conditionalFormatting sqref="J63:K63">
    <cfRule type="expression" dxfId="2992" priority="2324">
      <formula>$AC63=2</formula>
    </cfRule>
  </conditionalFormatting>
  <conditionalFormatting sqref="L63">
    <cfRule type="expression" dxfId="2991" priority="2323">
      <formula>$AC63=2</formula>
    </cfRule>
  </conditionalFormatting>
  <conditionalFormatting sqref="G63">
    <cfRule type="expression" dxfId="2990" priority="2322">
      <formula>$AC63=2</formula>
    </cfRule>
  </conditionalFormatting>
  <conditionalFormatting sqref="O63">
    <cfRule type="expression" dxfId="2989" priority="2320">
      <formula>$AC63=2</formula>
    </cfRule>
  </conditionalFormatting>
  <conditionalFormatting sqref="V63">
    <cfRule type="expression" dxfId="2988" priority="4560">
      <formula>$AC63=2</formula>
    </cfRule>
  </conditionalFormatting>
  <conditionalFormatting sqref="U63">
    <cfRule type="expression" dxfId="2987" priority="2318">
      <formula>$AC63=2</formula>
    </cfRule>
  </conditionalFormatting>
  <conditionalFormatting sqref="U63">
    <cfRule type="expression" dxfId="2986" priority="2317">
      <formula>U63&gt;F63</formula>
    </cfRule>
  </conditionalFormatting>
  <conditionalFormatting sqref="Q68:R74">
    <cfRule type="expression" dxfId="2985" priority="2311">
      <formula>$AE68=4</formula>
    </cfRule>
    <cfRule type="expression" dxfId="2984" priority="2312">
      <formula>$AE68=3</formula>
    </cfRule>
    <cfRule type="expression" dxfId="2983" priority="2313">
      <formula>$AE68=2</formula>
    </cfRule>
    <cfRule type="expression" dxfId="2982" priority="2314">
      <formula>$AE68=1</formula>
    </cfRule>
  </conditionalFormatting>
  <conditionalFormatting sqref="X68:Y74">
    <cfRule type="expression" dxfId="2981" priority="2307">
      <formula>$AF68=4</formula>
    </cfRule>
    <cfRule type="expression" dxfId="2980" priority="2308">
      <formula>$AF68=3</formula>
    </cfRule>
    <cfRule type="expression" dxfId="2979" priority="2309">
      <formula>$AF68=2</formula>
    </cfRule>
    <cfRule type="expression" dxfId="2978" priority="2310">
      <formula>$AF68=1</formula>
    </cfRule>
  </conditionalFormatting>
  <conditionalFormatting sqref="N68:N74">
    <cfRule type="expression" dxfId="2977" priority="2306">
      <formula>$AC68=2</formula>
    </cfRule>
  </conditionalFormatting>
  <conditionalFormatting sqref="N68:N74">
    <cfRule type="expression" dxfId="2976" priority="2305">
      <formula>N68&gt;F68</formula>
    </cfRule>
  </conditionalFormatting>
  <conditionalFormatting sqref="G68:G70 G72 G74">
    <cfRule type="expression" dxfId="2975" priority="2292">
      <formula>G68&gt;F68</formula>
    </cfRule>
  </conditionalFormatting>
  <conditionalFormatting sqref="J68:K74">
    <cfRule type="expression" dxfId="2974" priority="2296">
      <formula>$AD68=4</formula>
    </cfRule>
    <cfRule type="expression" dxfId="2973" priority="2297">
      <formula>$AD68=3</formula>
    </cfRule>
    <cfRule type="expression" dxfId="2972" priority="2298">
      <formula>$AD68=2</formula>
    </cfRule>
    <cfRule type="expression" dxfId="2971" priority="2299">
      <formula>$AD68=1</formula>
    </cfRule>
  </conditionalFormatting>
  <conditionalFormatting sqref="J68:K74">
    <cfRule type="expression" dxfId="2970" priority="2295">
      <formula>$AC68=2</formula>
    </cfRule>
  </conditionalFormatting>
  <conditionalFormatting sqref="L69:L74">
    <cfRule type="expression" dxfId="2969" priority="2294">
      <formula>$AC69=2</formula>
    </cfRule>
  </conditionalFormatting>
  <conditionalFormatting sqref="G68:G70 G72 G74">
    <cfRule type="expression" dxfId="2968" priority="2293">
      <formula>$AC68=2</formula>
    </cfRule>
  </conditionalFormatting>
  <conditionalFormatting sqref="O68:O74">
    <cfRule type="expression" dxfId="2967" priority="2291">
      <formula>$AC68=2</formula>
    </cfRule>
  </conditionalFormatting>
  <conditionalFormatting sqref="V68:V74">
    <cfRule type="expression" dxfId="2966" priority="2290">
      <formula>$AC68=2</formula>
    </cfRule>
  </conditionalFormatting>
  <conditionalFormatting sqref="U68:U70 U72 U74">
    <cfRule type="expression" dxfId="2965" priority="2289">
      <formula>$AC68=2</formula>
    </cfRule>
  </conditionalFormatting>
  <conditionalFormatting sqref="U68:U70 U72 U74">
    <cfRule type="expression" dxfId="2964" priority="2288">
      <formula>U68&gt;F68</formula>
    </cfRule>
  </conditionalFormatting>
  <conditionalFormatting sqref="Q76:R78">
    <cfRule type="expression" dxfId="2963" priority="2282">
      <formula>$AE76=4</formula>
    </cfRule>
    <cfRule type="expression" dxfId="2962" priority="2283">
      <formula>$AE76=3</formula>
    </cfRule>
    <cfRule type="expression" dxfId="2961" priority="2284">
      <formula>$AE76=2</formula>
    </cfRule>
    <cfRule type="expression" dxfId="2960" priority="2285">
      <formula>$AE76=1</formula>
    </cfRule>
  </conditionalFormatting>
  <conditionalFormatting sqref="X76:Y78">
    <cfRule type="expression" dxfId="2959" priority="2278">
      <formula>$AF76=4</formula>
    </cfRule>
    <cfRule type="expression" dxfId="2958" priority="2279">
      <formula>$AF76=3</formula>
    </cfRule>
    <cfRule type="expression" dxfId="2957" priority="2280">
      <formula>$AF76=2</formula>
    </cfRule>
    <cfRule type="expression" dxfId="2956" priority="2281">
      <formula>$AF76=1</formula>
    </cfRule>
  </conditionalFormatting>
  <conditionalFormatting sqref="N76:N78">
    <cfRule type="expression" dxfId="2955" priority="2277">
      <formula>$AC76=2</formula>
    </cfRule>
  </conditionalFormatting>
  <conditionalFormatting sqref="N76:N78">
    <cfRule type="expression" dxfId="2954" priority="2276">
      <formula>N76&gt;F76</formula>
    </cfRule>
  </conditionalFormatting>
  <conditionalFormatting sqref="G76:G78">
    <cfRule type="expression" dxfId="2953" priority="2263">
      <formula>G76&gt;F76</formula>
    </cfRule>
  </conditionalFormatting>
  <conditionalFormatting sqref="J76:K78">
    <cfRule type="expression" dxfId="2952" priority="2267">
      <formula>$AD76=4</formula>
    </cfRule>
    <cfRule type="expression" dxfId="2951" priority="2268">
      <formula>$AD76=3</formula>
    </cfRule>
    <cfRule type="expression" dxfId="2950" priority="2269">
      <formula>$AD76=2</formula>
    </cfRule>
    <cfRule type="expression" dxfId="2949" priority="2270">
      <formula>$AD76=1</formula>
    </cfRule>
  </conditionalFormatting>
  <conditionalFormatting sqref="J76:K78">
    <cfRule type="expression" dxfId="2948" priority="2266">
      <formula>$AC76=2</formula>
    </cfRule>
  </conditionalFormatting>
  <conditionalFormatting sqref="L76:L78">
    <cfRule type="expression" dxfId="2947" priority="2265">
      <formula>$AC76=2</formula>
    </cfRule>
  </conditionalFormatting>
  <conditionalFormatting sqref="G76:G78">
    <cfRule type="expression" dxfId="2946" priority="2264">
      <formula>$AC76=2</formula>
    </cfRule>
  </conditionalFormatting>
  <conditionalFormatting sqref="O76:O78">
    <cfRule type="expression" dxfId="2945" priority="2262">
      <formula>$AC76=2</formula>
    </cfRule>
  </conditionalFormatting>
  <conditionalFormatting sqref="V76:V78">
    <cfRule type="expression" dxfId="2944" priority="2261">
      <formula>$AC76=2</formula>
    </cfRule>
  </conditionalFormatting>
  <conditionalFormatting sqref="U76:U78">
    <cfRule type="expression" dxfId="2943" priority="2260">
      <formula>$AC76=2</formula>
    </cfRule>
  </conditionalFormatting>
  <conditionalFormatting sqref="U76:U78">
    <cfRule type="expression" dxfId="2942" priority="2259">
      <formula>U76&gt;F76</formula>
    </cfRule>
  </conditionalFormatting>
  <conditionalFormatting sqref="Q80:R81">
    <cfRule type="expression" dxfId="2941" priority="2253">
      <formula>$AE80=4</formula>
    </cfRule>
    <cfRule type="expression" dxfId="2940" priority="2254">
      <formula>$AE80=3</formula>
    </cfRule>
    <cfRule type="expression" dxfId="2939" priority="2255">
      <formula>$AE80=2</formula>
    </cfRule>
    <cfRule type="expression" dxfId="2938" priority="2256">
      <formula>$AE80=1</formula>
    </cfRule>
  </conditionalFormatting>
  <conditionalFormatting sqref="X80:Y81">
    <cfRule type="expression" dxfId="2937" priority="2249">
      <formula>$AF80=4</formula>
    </cfRule>
    <cfRule type="expression" dxfId="2936" priority="2250">
      <formula>$AF80=3</formula>
    </cfRule>
    <cfRule type="expression" dxfId="2935" priority="2251">
      <formula>$AF80=2</formula>
    </cfRule>
    <cfRule type="expression" dxfId="2934" priority="2252">
      <formula>$AF80=1</formula>
    </cfRule>
  </conditionalFormatting>
  <conditionalFormatting sqref="N80:N81">
    <cfRule type="expression" dxfId="2933" priority="2248">
      <formula>$AC80=2</formula>
    </cfRule>
  </conditionalFormatting>
  <conditionalFormatting sqref="N80:N81">
    <cfRule type="expression" dxfId="2932" priority="2247">
      <formula>N80&gt;F80</formula>
    </cfRule>
  </conditionalFormatting>
  <conditionalFormatting sqref="G80:G81">
    <cfRule type="expression" dxfId="2931" priority="2234">
      <formula>G80&gt;F80</formula>
    </cfRule>
  </conditionalFormatting>
  <conditionalFormatting sqref="J80:K81">
    <cfRule type="expression" dxfId="2930" priority="2238">
      <formula>$AD80=4</formula>
    </cfRule>
    <cfRule type="expression" dxfId="2929" priority="2239">
      <formula>$AD80=3</formula>
    </cfRule>
    <cfRule type="expression" dxfId="2928" priority="2240">
      <formula>$AD80=2</formula>
    </cfRule>
    <cfRule type="expression" dxfId="2927" priority="2241">
      <formula>$AD80=1</formula>
    </cfRule>
  </conditionalFormatting>
  <conditionalFormatting sqref="J80:K81">
    <cfRule type="expression" dxfId="2926" priority="2237">
      <formula>$AC80=2</formula>
    </cfRule>
  </conditionalFormatting>
  <conditionalFormatting sqref="L80:L81">
    <cfRule type="expression" dxfId="2925" priority="2236">
      <formula>$AC80=2</formula>
    </cfRule>
  </conditionalFormatting>
  <conditionalFormatting sqref="G80:G81">
    <cfRule type="expression" dxfId="2924" priority="2235">
      <formula>$AC80=2</formula>
    </cfRule>
  </conditionalFormatting>
  <conditionalFormatting sqref="O80:O81">
    <cfRule type="expression" dxfId="2923" priority="2233">
      <formula>$AC80=2</formula>
    </cfRule>
  </conditionalFormatting>
  <conditionalFormatting sqref="V80:V81">
    <cfRule type="expression" dxfId="2922" priority="2232">
      <formula>$AC80=2</formula>
    </cfRule>
  </conditionalFormatting>
  <conditionalFormatting sqref="U80:U81">
    <cfRule type="expression" dxfId="2921" priority="2231">
      <formula>$AC80=2</formula>
    </cfRule>
  </conditionalFormatting>
  <conditionalFormatting sqref="U80:U81">
    <cfRule type="expression" dxfId="2920" priority="2230">
      <formula>U80&gt;F80</formula>
    </cfRule>
  </conditionalFormatting>
  <conditionalFormatting sqref="Q83:R84">
    <cfRule type="expression" dxfId="2919" priority="2224">
      <formula>$AE83=4</formula>
    </cfRule>
    <cfRule type="expression" dxfId="2918" priority="2225">
      <formula>$AE83=3</formula>
    </cfRule>
    <cfRule type="expression" dxfId="2917" priority="2226">
      <formula>$AE83=2</formula>
    </cfRule>
    <cfRule type="expression" dxfId="2916" priority="2227">
      <formula>$AE83=1</formula>
    </cfRule>
  </conditionalFormatting>
  <conditionalFormatting sqref="X83:Y84">
    <cfRule type="expression" dxfId="2915" priority="2220">
      <formula>$AF83=4</formula>
    </cfRule>
    <cfRule type="expression" dxfId="2914" priority="2221">
      <formula>$AF83=3</formula>
    </cfRule>
    <cfRule type="expression" dxfId="2913" priority="2222">
      <formula>$AF83=2</formula>
    </cfRule>
    <cfRule type="expression" dxfId="2912" priority="2223">
      <formula>$AF83=1</formula>
    </cfRule>
  </conditionalFormatting>
  <conditionalFormatting sqref="N83:N84">
    <cfRule type="expression" dxfId="2911" priority="2219">
      <formula>$AC83=2</formula>
    </cfRule>
  </conditionalFormatting>
  <conditionalFormatting sqref="N83:N84">
    <cfRule type="expression" dxfId="2910" priority="2218">
      <formula>N83&gt;F83</formula>
    </cfRule>
  </conditionalFormatting>
  <conditionalFormatting sqref="G83:G84">
    <cfRule type="expression" dxfId="2909" priority="2205">
      <formula>G83&gt;F83</formula>
    </cfRule>
  </conditionalFormatting>
  <conditionalFormatting sqref="J83:K84">
    <cfRule type="expression" dxfId="2908" priority="2209">
      <formula>$AD83=4</formula>
    </cfRule>
    <cfRule type="expression" dxfId="2907" priority="2210">
      <formula>$AD83=3</formula>
    </cfRule>
    <cfRule type="expression" dxfId="2906" priority="2211">
      <formula>$AD83=2</formula>
    </cfRule>
    <cfRule type="expression" dxfId="2905" priority="2212">
      <formula>$AD83=1</formula>
    </cfRule>
  </conditionalFormatting>
  <conditionalFormatting sqref="J83:K84">
    <cfRule type="expression" dxfId="2904" priority="2208">
      <formula>$AC83=2</formula>
    </cfRule>
  </conditionalFormatting>
  <conditionalFormatting sqref="L83:L84">
    <cfRule type="expression" dxfId="2903" priority="2207">
      <formula>$AC83=2</formula>
    </cfRule>
  </conditionalFormatting>
  <conditionalFormatting sqref="G83:G84">
    <cfRule type="expression" dxfId="2902" priority="2206">
      <formula>$AC83=2</formula>
    </cfRule>
  </conditionalFormatting>
  <conditionalFormatting sqref="O83:O84">
    <cfRule type="expression" dxfId="2901" priority="2204">
      <formula>$AC83=2</formula>
    </cfRule>
  </conditionalFormatting>
  <conditionalFormatting sqref="V83:V84">
    <cfRule type="expression" dxfId="2900" priority="2203">
      <formula>$AC83=2</formula>
    </cfRule>
  </conditionalFormatting>
  <conditionalFormatting sqref="U83:U84">
    <cfRule type="expression" dxfId="2899" priority="2202">
      <formula>$AC83=2</formula>
    </cfRule>
  </conditionalFormatting>
  <conditionalFormatting sqref="U83:U84">
    <cfRule type="expression" dxfId="2898" priority="2201">
      <formula>U83&gt;F83</formula>
    </cfRule>
  </conditionalFormatting>
  <conditionalFormatting sqref="Q86:R86">
    <cfRule type="expression" dxfId="2897" priority="2195">
      <formula>$AE86=4</formula>
    </cfRule>
    <cfRule type="expression" dxfId="2896" priority="2196">
      <formula>$AE86=3</formula>
    </cfRule>
    <cfRule type="expression" dxfId="2895" priority="2197">
      <formula>$AE86=2</formula>
    </cfRule>
    <cfRule type="expression" dxfId="2894" priority="2198">
      <formula>$AE86=1</formula>
    </cfRule>
  </conditionalFormatting>
  <conditionalFormatting sqref="X86:Y86">
    <cfRule type="expression" dxfId="2893" priority="2191">
      <formula>$AF86=4</formula>
    </cfRule>
    <cfRule type="expression" dxfId="2892" priority="2192">
      <formula>$AF86=3</formula>
    </cfRule>
    <cfRule type="expression" dxfId="2891" priority="2193">
      <formula>$AF86=2</formula>
    </cfRule>
    <cfRule type="expression" dxfId="2890" priority="2194">
      <formula>$AF86=1</formula>
    </cfRule>
  </conditionalFormatting>
  <conditionalFormatting sqref="N86">
    <cfRule type="expression" dxfId="2889" priority="2190">
      <formula>$AC86=2</formula>
    </cfRule>
  </conditionalFormatting>
  <conditionalFormatting sqref="N86 N88">
    <cfRule type="expression" dxfId="2888" priority="2189">
      <formula>N86&gt;F86</formula>
    </cfRule>
  </conditionalFormatting>
  <conditionalFormatting sqref="G86 G88">
    <cfRule type="expression" dxfId="2887" priority="2176">
      <formula>G86&gt;F86</formula>
    </cfRule>
  </conditionalFormatting>
  <conditionalFormatting sqref="J86:K86">
    <cfRule type="expression" dxfId="2886" priority="2180">
      <formula>$AD86=4</formula>
    </cfRule>
    <cfRule type="expression" dxfId="2885" priority="2181">
      <formula>$AD86=3</formula>
    </cfRule>
    <cfRule type="expression" dxfId="2884" priority="2182">
      <formula>$AD86=2</formula>
    </cfRule>
    <cfRule type="expression" dxfId="2883" priority="2183">
      <formula>$AD86=1</formula>
    </cfRule>
  </conditionalFormatting>
  <conditionalFormatting sqref="J86:K86">
    <cfRule type="expression" dxfId="2882" priority="2179">
      <formula>$AC86=2</formula>
    </cfRule>
  </conditionalFormatting>
  <conditionalFormatting sqref="L86">
    <cfRule type="expression" dxfId="2881" priority="2178">
      <formula>$AC86=2</formula>
    </cfRule>
  </conditionalFormatting>
  <conditionalFormatting sqref="G86">
    <cfRule type="expression" dxfId="2880" priority="2177">
      <formula>$AC86=2</formula>
    </cfRule>
  </conditionalFormatting>
  <conditionalFormatting sqref="O86">
    <cfRule type="expression" dxfId="2879" priority="2175">
      <formula>$AC86=2</formula>
    </cfRule>
  </conditionalFormatting>
  <conditionalFormatting sqref="V86">
    <cfRule type="expression" dxfId="2878" priority="2174">
      <formula>$AC86=2</formula>
    </cfRule>
  </conditionalFormatting>
  <conditionalFormatting sqref="U86">
    <cfRule type="expression" dxfId="2877" priority="2173">
      <formula>$AC86=2</formula>
    </cfRule>
  </conditionalFormatting>
  <conditionalFormatting sqref="U86">
    <cfRule type="expression" dxfId="2876" priority="2172">
      <formula>U86&gt;F86</formula>
    </cfRule>
  </conditionalFormatting>
  <conditionalFormatting sqref="Q90:R91">
    <cfRule type="expression" dxfId="2875" priority="2166">
      <formula>$AE90=4</formula>
    </cfRule>
    <cfRule type="expression" dxfId="2874" priority="2167">
      <formula>$AE90=3</formula>
    </cfRule>
    <cfRule type="expression" dxfId="2873" priority="2168">
      <formula>$AE90=2</formula>
    </cfRule>
    <cfRule type="expression" dxfId="2872" priority="2169">
      <formula>$AE90=1</formula>
    </cfRule>
  </conditionalFormatting>
  <conditionalFormatting sqref="X90:Y91">
    <cfRule type="expression" dxfId="2871" priority="2162">
      <formula>$AF90=4</formula>
    </cfRule>
    <cfRule type="expression" dxfId="2870" priority="2163">
      <formula>$AF90=3</formula>
    </cfRule>
    <cfRule type="expression" dxfId="2869" priority="2164">
      <formula>$AF90=2</formula>
    </cfRule>
    <cfRule type="expression" dxfId="2868" priority="2165">
      <formula>$AF90=1</formula>
    </cfRule>
  </conditionalFormatting>
  <conditionalFormatting sqref="N90:N91">
    <cfRule type="expression" dxfId="2867" priority="2161">
      <formula>$AC90=2</formula>
    </cfRule>
  </conditionalFormatting>
  <conditionalFormatting sqref="N90:N91">
    <cfRule type="expression" dxfId="2866" priority="2160">
      <formula>N90&gt;F90</formula>
    </cfRule>
  </conditionalFormatting>
  <conditionalFormatting sqref="G90:G91">
    <cfRule type="expression" dxfId="2865" priority="2147">
      <formula>G90&gt;F90</formula>
    </cfRule>
  </conditionalFormatting>
  <conditionalFormatting sqref="J90:K91">
    <cfRule type="expression" dxfId="2864" priority="2151">
      <formula>$AD90=4</formula>
    </cfRule>
    <cfRule type="expression" dxfId="2863" priority="2152">
      <formula>$AD90=3</formula>
    </cfRule>
    <cfRule type="expression" dxfId="2862" priority="2153">
      <formula>$AD90=2</formula>
    </cfRule>
    <cfRule type="expression" dxfId="2861" priority="2154">
      <formula>$AD90=1</formula>
    </cfRule>
  </conditionalFormatting>
  <conditionalFormatting sqref="J90:K91">
    <cfRule type="expression" dxfId="2860" priority="2150">
      <formula>$AC90=2</formula>
    </cfRule>
  </conditionalFormatting>
  <conditionalFormatting sqref="L90:L91">
    <cfRule type="expression" dxfId="2859" priority="2149">
      <formula>$AC90=2</formula>
    </cfRule>
  </conditionalFormatting>
  <conditionalFormatting sqref="G90:G91">
    <cfRule type="expression" dxfId="2858" priority="2148">
      <formula>$AC90=2</formula>
    </cfRule>
  </conditionalFormatting>
  <conditionalFormatting sqref="O90:O91">
    <cfRule type="expression" dxfId="2857" priority="2146">
      <formula>$AC90=2</formula>
    </cfRule>
  </conditionalFormatting>
  <conditionalFormatting sqref="V90:V91">
    <cfRule type="expression" dxfId="2856" priority="2145">
      <formula>$AC90=2</formula>
    </cfRule>
  </conditionalFormatting>
  <conditionalFormatting sqref="U90:U91">
    <cfRule type="expression" dxfId="2855" priority="2144">
      <formula>$AC90=2</formula>
    </cfRule>
  </conditionalFormatting>
  <conditionalFormatting sqref="U90:U91">
    <cfRule type="expression" dxfId="2854" priority="2143">
      <formula>U90&gt;F90</formula>
    </cfRule>
  </conditionalFormatting>
  <conditionalFormatting sqref="Q93:R93">
    <cfRule type="expression" dxfId="2853" priority="2137">
      <formula>$AE93=4</formula>
    </cfRule>
    <cfRule type="expression" dxfId="2852" priority="2138">
      <formula>$AE93=3</formula>
    </cfRule>
    <cfRule type="expression" dxfId="2851" priority="2139">
      <formula>$AE93=2</formula>
    </cfRule>
    <cfRule type="expression" dxfId="2850" priority="2140">
      <formula>$AE93=1</formula>
    </cfRule>
  </conditionalFormatting>
  <conditionalFormatting sqref="X93:Y93">
    <cfRule type="expression" dxfId="2849" priority="2133">
      <formula>$AF93=4</formula>
    </cfRule>
    <cfRule type="expression" dxfId="2848" priority="2134">
      <formula>$AF93=3</formula>
    </cfRule>
    <cfRule type="expression" dxfId="2847" priority="2135">
      <formula>$AF93=2</formula>
    </cfRule>
    <cfRule type="expression" dxfId="2846" priority="2136">
      <formula>$AF93=1</formula>
    </cfRule>
  </conditionalFormatting>
  <conditionalFormatting sqref="N93">
    <cfRule type="expression" dxfId="2845" priority="2132">
      <formula>$AC93=2</formula>
    </cfRule>
  </conditionalFormatting>
  <conditionalFormatting sqref="N93">
    <cfRule type="expression" dxfId="2844" priority="2131">
      <formula>N93&gt;F93</formula>
    </cfRule>
  </conditionalFormatting>
  <conditionalFormatting sqref="G93">
    <cfRule type="expression" dxfId="2843" priority="2118">
      <formula>G93&gt;F93</formula>
    </cfRule>
  </conditionalFormatting>
  <conditionalFormatting sqref="J93:K93">
    <cfRule type="expression" dxfId="2842" priority="2122">
      <formula>$AD93=4</formula>
    </cfRule>
    <cfRule type="expression" dxfId="2841" priority="2123">
      <formula>$AD93=3</formula>
    </cfRule>
    <cfRule type="expression" dxfId="2840" priority="2124">
      <formula>$AD93=2</formula>
    </cfRule>
    <cfRule type="expression" dxfId="2839" priority="2125">
      <formula>$AD93=1</formula>
    </cfRule>
  </conditionalFormatting>
  <conditionalFormatting sqref="J93:K93">
    <cfRule type="expression" dxfId="2838" priority="2121">
      <formula>$AC93=2</formula>
    </cfRule>
  </conditionalFormatting>
  <conditionalFormatting sqref="L93">
    <cfRule type="expression" dxfId="2837" priority="2120">
      <formula>$AC93=2</formula>
    </cfRule>
  </conditionalFormatting>
  <conditionalFormatting sqref="G93">
    <cfRule type="expression" dxfId="2836" priority="2119">
      <formula>$AC93=2</formula>
    </cfRule>
  </conditionalFormatting>
  <conditionalFormatting sqref="O93">
    <cfRule type="expression" dxfId="2835" priority="2117">
      <formula>$AC93=2</formula>
    </cfRule>
  </conditionalFormatting>
  <conditionalFormatting sqref="V93">
    <cfRule type="expression" dxfId="2834" priority="2116">
      <formula>$AC93=2</formula>
    </cfRule>
  </conditionalFormatting>
  <conditionalFormatting sqref="U93">
    <cfRule type="expression" dxfId="2833" priority="2115">
      <formula>$AC93=2</formula>
    </cfRule>
  </conditionalFormatting>
  <conditionalFormatting sqref="U93">
    <cfRule type="expression" dxfId="2832" priority="2114">
      <formula>U93&gt;F93</formula>
    </cfRule>
  </conditionalFormatting>
  <conditionalFormatting sqref="Q98:R99">
    <cfRule type="expression" dxfId="2831" priority="2108">
      <formula>$AE98=4</formula>
    </cfRule>
    <cfRule type="expression" dxfId="2830" priority="2109">
      <formula>$AE98=3</formula>
    </cfRule>
    <cfRule type="expression" dxfId="2829" priority="2110">
      <formula>$AE98=2</formula>
    </cfRule>
    <cfRule type="expression" dxfId="2828" priority="2111">
      <formula>$AE98=1</formula>
    </cfRule>
  </conditionalFormatting>
  <conditionalFormatting sqref="X98:Y99">
    <cfRule type="expression" dxfId="2827" priority="2104">
      <formula>$AF98=4</formula>
    </cfRule>
    <cfRule type="expression" dxfId="2826" priority="2105">
      <formula>$AF98=3</formula>
    </cfRule>
    <cfRule type="expression" dxfId="2825" priority="2106">
      <formula>$AF98=2</formula>
    </cfRule>
    <cfRule type="expression" dxfId="2824" priority="2107">
      <formula>$AF98=1</formula>
    </cfRule>
  </conditionalFormatting>
  <conditionalFormatting sqref="N98:N99">
    <cfRule type="expression" dxfId="2823" priority="2103">
      <formula>$AC98=2</formula>
    </cfRule>
  </conditionalFormatting>
  <conditionalFormatting sqref="N98:N99">
    <cfRule type="expression" dxfId="2822" priority="2102">
      <formula>N98&gt;F98</formula>
    </cfRule>
  </conditionalFormatting>
  <conditionalFormatting sqref="G98:G99">
    <cfRule type="expression" dxfId="2821" priority="2089">
      <formula>G98&gt;F98</formula>
    </cfRule>
  </conditionalFormatting>
  <conditionalFormatting sqref="J98:K99">
    <cfRule type="expression" dxfId="2820" priority="2093">
      <formula>$AD98=4</formula>
    </cfRule>
    <cfRule type="expression" dxfId="2819" priority="2094">
      <formula>$AD98=3</formula>
    </cfRule>
    <cfRule type="expression" dxfId="2818" priority="2095">
      <formula>$AD98=2</formula>
    </cfRule>
    <cfRule type="expression" dxfId="2817" priority="2096">
      <formula>$AD98=1</formula>
    </cfRule>
  </conditionalFormatting>
  <conditionalFormatting sqref="J98:K99">
    <cfRule type="expression" dxfId="2816" priority="2092">
      <formula>$AC98=2</formula>
    </cfRule>
  </conditionalFormatting>
  <conditionalFormatting sqref="L98:L99">
    <cfRule type="expression" dxfId="2815" priority="2091">
      <formula>$AC98=2</formula>
    </cfRule>
  </conditionalFormatting>
  <conditionalFormatting sqref="G98:G99">
    <cfRule type="expression" dxfId="2814" priority="2090">
      <formula>$AC98=2</formula>
    </cfRule>
  </conditionalFormatting>
  <conditionalFormatting sqref="O98:O99">
    <cfRule type="expression" dxfId="2813" priority="2088">
      <formula>$AC98=2</formula>
    </cfRule>
  </conditionalFormatting>
  <conditionalFormatting sqref="V98:V99">
    <cfRule type="expression" dxfId="2812" priority="2087">
      <formula>$AC98=2</formula>
    </cfRule>
  </conditionalFormatting>
  <conditionalFormatting sqref="U98:U99">
    <cfRule type="expression" dxfId="2811" priority="2086">
      <formula>$AC98=2</formula>
    </cfRule>
  </conditionalFormatting>
  <conditionalFormatting sqref="U98:U99">
    <cfRule type="expression" dxfId="2810" priority="2085">
      <formula>U98&gt;F98</formula>
    </cfRule>
  </conditionalFormatting>
  <conditionalFormatting sqref="Q102:R102">
    <cfRule type="expression" dxfId="2809" priority="2079">
      <formula>$AE102=4</formula>
    </cfRule>
    <cfRule type="expression" dxfId="2808" priority="2080">
      <formula>$AE102=3</formula>
    </cfRule>
    <cfRule type="expression" dxfId="2807" priority="2081">
      <formula>$AE102=2</formula>
    </cfRule>
    <cfRule type="expression" dxfId="2806" priority="2082">
      <formula>$AE102=1</formula>
    </cfRule>
  </conditionalFormatting>
  <conditionalFormatting sqref="X102:Y102">
    <cfRule type="expression" dxfId="2805" priority="2075">
      <formula>$AF102=4</formula>
    </cfRule>
    <cfRule type="expression" dxfId="2804" priority="2076">
      <formula>$AF102=3</formula>
    </cfRule>
    <cfRule type="expression" dxfId="2803" priority="2077">
      <formula>$AF102=2</formula>
    </cfRule>
    <cfRule type="expression" dxfId="2802" priority="2078">
      <formula>$AF102=1</formula>
    </cfRule>
  </conditionalFormatting>
  <conditionalFormatting sqref="N102">
    <cfRule type="expression" dxfId="2801" priority="2074">
      <formula>$AC102=2</formula>
    </cfRule>
  </conditionalFormatting>
  <conditionalFormatting sqref="N102">
    <cfRule type="expression" dxfId="2800" priority="2073">
      <formula>N102&gt;F102</formula>
    </cfRule>
  </conditionalFormatting>
  <conditionalFormatting sqref="G102">
    <cfRule type="expression" dxfId="2799" priority="2060">
      <formula>G102&gt;F102</formula>
    </cfRule>
  </conditionalFormatting>
  <conditionalFormatting sqref="J102:K102">
    <cfRule type="expression" dxfId="2798" priority="2064">
      <formula>$AD102=4</formula>
    </cfRule>
    <cfRule type="expression" dxfId="2797" priority="2065">
      <formula>$AD102=3</formula>
    </cfRule>
    <cfRule type="expression" dxfId="2796" priority="2066">
      <formula>$AD102=2</formula>
    </cfRule>
    <cfRule type="expression" dxfId="2795" priority="2067">
      <formula>$AD102=1</formula>
    </cfRule>
  </conditionalFormatting>
  <conditionalFormatting sqref="J102:K102">
    <cfRule type="expression" dxfId="2794" priority="2063">
      <formula>$AC102=2</formula>
    </cfRule>
  </conditionalFormatting>
  <conditionalFormatting sqref="L102">
    <cfRule type="expression" dxfId="2793" priority="2062">
      <formula>$AC102=2</formula>
    </cfRule>
  </conditionalFormatting>
  <conditionalFormatting sqref="G102">
    <cfRule type="expression" dxfId="2792" priority="2061">
      <formula>$AC102=2</formula>
    </cfRule>
  </conditionalFormatting>
  <conditionalFormatting sqref="O102">
    <cfRule type="expression" dxfId="2791" priority="2059">
      <formula>$AC102=2</formula>
    </cfRule>
  </conditionalFormatting>
  <conditionalFormatting sqref="V102">
    <cfRule type="expression" dxfId="2790" priority="2058">
      <formula>$AC102=2</formula>
    </cfRule>
  </conditionalFormatting>
  <conditionalFormatting sqref="U102">
    <cfRule type="expression" dxfId="2789" priority="2057">
      <formula>$AC102=2</formula>
    </cfRule>
  </conditionalFormatting>
  <conditionalFormatting sqref="U102">
    <cfRule type="expression" dxfId="2788" priority="2056">
      <formula>U102&gt;F102</formula>
    </cfRule>
  </conditionalFormatting>
  <conditionalFormatting sqref="Q108:R108">
    <cfRule type="expression" dxfId="2787" priority="2050">
      <formula>$AE108=4</formula>
    </cfRule>
    <cfRule type="expression" dxfId="2786" priority="2051">
      <formula>$AE108=3</formula>
    </cfRule>
    <cfRule type="expression" dxfId="2785" priority="2052">
      <formula>$AE108=2</formula>
    </cfRule>
    <cfRule type="expression" dxfId="2784" priority="2053">
      <formula>$AE108=1</formula>
    </cfRule>
  </conditionalFormatting>
  <conditionalFormatting sqref="X108:Y108">
    <cfRule type="expression" dxfId="2783" priority="2046">
      <formula>$AF108=4</formula>
    </cfRule>
    <cfRule type="expression" dxfId="2782" priority="2047">
      <formula>$AF108=3</formula>
    </cfRule>
    <cfRule type="expression" dxfId="2781" priority="2048">
      <formula>$AF108=2</formula>
    </cfRule>
    <cfRule type="expression" dxfId="2780" priority="2049">
      <formula>$AF108=1</formula>
    </cfRule>
  </conditionalFormatting>
  <conditionalFormatting sqref="J108:K108">
    <cfRule type="expression" dxfId="2779" priority="2035">
      <formula>$AD108=4</formula>
    </cfRule>
    <cfRule type="expression" dxfId="2778" priority="2036">
      <formula>$AD108=3</formula>
    </cfRule>
    <cfRule type="expression" dxfId="2777" priority="2037">
      <formula>$AD108=2</formula>
    </cfRule>
    <cfRule type="expression" dxfId="2776" priority="2038">
      <formula>$AD108=1</formula>
    </cfRule>
  </conditionalFormatting>
  <conditionalFormatting sqref="J108:K108">
    <cfRule type="expression" dxfId="2775" priority="2034">
      <formula>$AC108=2</formula>
    </cfRule>
  </conditionalFormatting>
  <conditionalFormatting sqref="L108">
    <cfRule type="expression" dxfId="2774" priority="2033">
      <formula>$AC108=2</formula>
    </cfRule>
  </conditionalFormatting>
  <conditionalFormatting sqref="O108">
    <cfRule type="expression" dxfId="2773" priority="2030">
      <formula>$AC108=2</formula>
    </cfRule>
  </conditionalFormatting>
  <conditionalFormatting sqref="V108">
    <cfRule type="expression" dxfId="2772" priority="2029">
      <formula>$AC108=2</formula>
    </cfRule>
  </conditionalFormatting>
  <conditionalFormatting sqref="Q110:R110">
    <cfRule type="expression" dxfId="2771" priority="2021">
      <formula>$AE110=4</formula>
    </cfRule>
    <cfRule type="expression" dxfId="2770" priority="2022">
      <formula>$AE110=3</formula>
    </cfRule>
    <cfRule type="expression" dxfId="2769" priority="2023">
      <formula>$AE110=2</formula>
    </cfRule>
    <cfRule type="expression" dxfId="2768" priority="2024">
      <formula>$AE110=1</formula>
    </cfRule>
  </conditionalFormatting>
  <conditionalFormatting sqref="X110:Y110">
    <cfRule type="expression" dxfId="2767" priority="2017">
      <formula>$AF110=4</formula>
    </cfRule>
    <cfRule type="expression" dxfId="2766" priority="2018">
      <formula>$AF110=3</formula>
    </cfRule>
    <cfRule type="expression" dxfId="2765" priority="2019">
      <formula>$AF110=2</formula>
    </cfRule>
    <cfRule type="expression" dxfId="2764" priority="2020">
      <formula>$AF110=1</formula>
    </cfRule>
  </conditionalFormatting>
  <conditionalFormatting sqref="N110">
    <cfRule type="expression" dxfId="2763" priority="2016">
      <formula>$AC110=2</formula>
    </cfRule>
  </conditionalFormatting>
  <conditionalFormatting sqref="N110">
    <cfRule type="expression" dxfId="2762" priority="2015">
      <formula>N110&gt;F110</formula>
    </cfRule>
  </conditionalFormatting>
  <conditionalFormatting sqref="G110">
    <cfRule type="expression" dxfId="2761" priority="2002">
      <formula>G110&gt;F110</formula>
    </cfRule>
  </conditionalFormatting>
  <conditionalFormatting sqref="J110:K110">
    <cfRule type="expression" dxfId="2760" priority="2006">
      <formula>$AD110=4</formula>
    </cfRule>
    <cfRule type="expression" dxfId="2759" priority="2007">
      <formula>$AD110=3</formula>
    </cfRule>
    <cfRule type="expression" dxfId="2758" priority="2008">
      <formula>$AD110=2</formula>
    </cfRule>
    <cfRule type="expression" dxfId="2757" priority="2009">
      <formula>$AD110=1</formula>
    </cfRule>
  </conditionalFormatting>
  <conditionalFormatting sqref="J110:K110">
    <cfRule type="expression" dxfId="2756" priority="2005">
      <formula>$AC110=2</formula>
    </cfRule>
  </conditionalFormatting>
  <conditionalFormatting sqref="L110">
    <cfRule type="expression" dxfId="2755" priority="2004">
      <formula>$AC110=2</formula>
    </cfRule>
  </conditionalFormatting>
  <conditionalFormatting sqref="G110">
    <cfRule type="expression" dxfId="2754" priority="2003">
      <formula>$AC110=2</formula>
    </cfRule>
  </conditionalFormatting>
  <conditionalFormatting sqref="O110">
    <cfRule type="expression" dxfId="2753" priority="2001">
      <formula>$AC110=2</formula>
    </cfRule>
  </conditionalFormatting>
  <conditionalFormatting sqref="V110">
    <cfRule type="expression" dxfId="2752" priority="2000">
      <formula>$AC110=2</formula>
    </cfRule>
  </conditionalFormatting>
  <conditionalFormatting sqref="U110">
    <cfRule type="expression" dxfId="2751" priority="1999">
      <formula>$AC110=2</formula>
    </cfRule>
  </conditionalFormatting>
  <conditionalFormatting sqref="U110">
    <cfRule type="expression" dxfId="2750" priority="1998">
      <formula>U110&gt;F110</formula>
    </cfRule>
  </conditionalFormatting>
  <conditionalFormatting sqref="Q112:R114">
    <cfRule type="expression" dxfId="2749" priority="1992">
      <formula>$AE112=4</formula>
    </cfRule>
    <cfRule type="expression" dxfId="2748" priority="1993">
      <formula>$AE112=3</formula>
    </cfRule>
    <cfRule type="expression" dxfId="2747" priority="1994">
      <formula>$AE112=2</formula>
    </cfRule>
    <cfRule type="expression" dxfId="2746" priority="1995">
      <formula>$AE112=1</formula>
    </cfRule>
  </conditionalFormatting>
  <conditionalFormatting sqref="X112:Y114">
    <cfRule type="expression" dxfId="2745" priority="1988">
      <formula>$AF112=4</formula>
    </cfRule>
    <cfRule type="expression" dxfId="2744" priority="1989">
      <formula>$AF112=3</formula>
    </cfRule>
    <cfRule type="expression" dxfId="2743" priority="1990">
      <formula>$AF112=2</formula>
    </cfRule>
    <cfRule type="expression" dxfId="2742" priority="1991">
      <formula>$AF112=1</formula>
    </cfRule>
  </conditionalFormatting>
  <conditionalFormatting sqref="N112:N114">
    <cfRule type="expression" dxfId="2741" priority="1987">
      <formula>$AC112=2</formula>
    </cfRule>
  </conditionalFormatting>
  <conditionalFormatting sqref="N112:N114">
    <cfRule type="expression" dxfId="2740" priority="1986">
      <formula>N112&gt;F112</formula>
    </cfRule>
  </conditionalFormatting>
  <conditionalFormatting sqref="G112:G114">
    <cfRule type="expression" dxfId="2739" priority="1973">
      <formula>G112&gt;F112</formula>
    </cfRule>
  </conditionalFormatting>
  <conditionalFormatting sqref="J112:K114">
    <cfRule type="expression" dxfId="2738" priority="1977">
      <formula>$AD112=4</formula>
    </cfRule>
    <cfRule type="expression" dxfId="2737" priority="1978">
      <formula>$AD112=3</formula>
    </cfRule>
    <cfRule type="expression" dxfId="2736" priority="1979">
      <formula>$AD112=2</formula>
    </cfRule>
    <cfRule type="expression" dxfId="2735" priority="1980">
      <formula>$AD112=1</formula>
    </cfRule>
  </conditionalFormatting>
  <conditionalFormatting sqref="J112:K114">
    <cfRule type="expression" dxfId="2734" priority="1976">
      <formula>$AC112=2</formula>
    </cfRule>
  </conditionalFormatting>
  <conditionalFormatting sqref="L112:L114">
    <cfRule type="expression" dxfId="2733" priority="1975">
      <formula>$AC112=2</formula>
    </cfRule>
  </conditionalFormatting>
  <conditionalFormatting sqref="G112:G114">
    <cfRule type="expression" dxfId="2732" priority="1974">
      <formula>$AC112=2</formula>
    </cfRule>
  </conditionalFormatting>
  <conditionalFormatting sqref="O112:O114">
    <cfRule type="expression" dxfId="2731" priority="1972">
      <formula>$AC112=2</formula>
    </cfRule>
  </conditionalFormatting>
  <conditionalFormatting sqref="V112:V114">
    <cfRule type="expression" dxfId="2730" priority="1971">
      <formula>$AC112=2</formula>
    </cfRule>
  </conditionalFormatting>
  <conditionalFormatting sqref="U112:U114">
    <cfRule type="expression" dxfId="2729" priority="1970">
      <formula>$AC112=2</formula>
    </cfRule>
  </conditionalFormatting>
  <conditionalFormatting sqref="U112:U114">
    <cfRule type="expression" dxfId="2728" priority="1969">
      <formula>U112&gt;F112</formula>
    </cfRule>
  </conditionalFormatting>
  <conditionalFormatting sqref="Q116:R116">
    <cfRule type="expression" dxfId="2727" priority="1963">
      <formula>$AE116=4</formula>
    </cfRule>
    <cfRule type="expression" dxfId="2726" priority="1964">
      <formula>$AE116=3</formula>
    </cfRule>
    <cfRule type="expression" dxfId="2725" priority="1965">
      <formula>$AE116=2</formula>
    </cfRule>
    <cfRule type="expression" dxfId="2724" priority="1966">
      <formula>$AE116=1</formula>
    </cfRule>
  </conditionalFormatting>
  <conditionalFormatting sqref="X116:Y116">
    <cfRule type="expression" dxfId="2723" priority="1959">
      <formula>$AF116=4</formula>
    </cfRule>
    <cfRule type="expression" dxfId="2722" priority="1960">
      <formula>$AF116=3</formula>
    </cfRule>
    <cfRule type="expression" dxfId="2721" priority="1961">
      <formula>$AF116=2</formula>
    </cfRule>
    <cfRule type="expression" dxfId="2720" priority="1962">
      <formula>$AF116=1</formula>
    </cfRule>
  </conditionalFormatting>
  <conditionalFormatting sqref="N116">
    <cfRule type="expression" dxfId="2719" priority="1958">
      <formula>$AC116=2</formula>
    </cfRule>
  </conditionalFormatting>
  <conditionalFormatting sqref="N116">
    <cfRule type="expression" dxfId="2718" priority="1957">
      <formula>N116&gt;F116</formula>
    </cfRule>
  </conditionalFormatting>
  <conditionalFormatting sqref="G116">
    <cfRule type="expression" dxfId="2717" priority="1944">
      <formula>G116&gt;F116</formula>
    </cfRule>
  </conditionalFormatting>
  <conditionalFormatting sqref="J116:K116">
    <cfRule type="expression" dxfId="2716" priority="1948">
      <formula>$AD116=4</formula>
    </cfRule>
    <cfRule type="expression" dxfId="2715" priority="1949">
      <formula>$AD116=3</formula>
    </cfRule>
    <cfRule type="expression" dxfId="2714" priority="1950">
      <formula>$AD116=2</formula>
    </cfRule>
    <cfRule type="expression" dxfId="2713" priority="1951">
      <formula>$AD116=1</formula>
    </cfRule>
  </conditionalFormatting>
  <conditionalFormatting sqref="J116:K116">
    <cfRule type="expression" dxfId="2712" priority="1947">
      <formula>$AC116=2</formula>
    </cfRule>
  </conditionalFormatting>
  <conditionalFormatting sqref="L116">
    <cfRule type="expression" dxfId="2711" priority="1946">
      <formula>$AC116=2</formula>
    </cfRule>
  </conditionalFormatting>
  <conditionalFormatting sqref="G116">
    <cfRule type="expression" dxfId="2710" priority="1945">
      <formula>$AC116=2</formula>
    </cfRule>
  </conditionalFormatting>
  <conditionalFormatting sqref="O116">
    <cfRule type="expression" dxfId="2709" priority="1943">
      <formula>$AC116=2</formula>
    </cfRule>
  </conditionalFormatting>
  <conditionalFormatting sqref="V116">
    <cfRule type="expression" dxfId="2708" priority="1942">
      <formula>$AC116=2</formula>
    </cfRule>
  </conditionalFormatting>
  <conditionalFormatting sqref="U116">
    <cfRule type="expression" dxfId="2707" priority="1941">
      <formula>$AC116=2</formula>
    </cfRule>
  </conditionalFormatting>
  <conditionalFormatting sqref="U116">
    <cfRule type="expression" dxfId="2706" priority="1940">
      <formula>U116&gt;F116</formula>
    </cfRule>
  </conditionalFormatting>
  <conditionalFormatting sqref="Q121:R122">
    <cfRule type="expression" dxfId="2705" priority="1934">
      <formula>$AE121=4</formula>
    </cfRule>
    <cfRule type="expression" dxfId="2704" priority="1935">
      <formula>$AE121=3</formula>
    </cfRule>
    <cfRule type="expression" dxfId="2703" priority="1936">
      <formula>$AE121=2</formula>
    </cfRule>
    <cfRule type="expression" dxfId="2702" priority="1937">
      <formula>$AE121=1</formula>
    </cfRule>
  </conditionalFormatting>
  <conditionalFormatting sqref="X121:Y122">
    <cfRule type="expression" dxfId="2701" priority="1930">
      <formula>$AF121=4</formula>
    </cfRule>
    <cfRule type="expression" dxfId="2700" priority="1931">
      <formula>$AF121=3</formula>
    </cfRule>
    <cfRule type="expression" dxfId="2699" priority="1932">
      <formula>$AF121=2</formula>
    </cfRule>
    <cfRule type="expression" dxfId="2698" priority="1933">
      <formula>$AF121=1</formula>
    </cfRule>
  </conditionalFormatting>
  <conditionalFormatting sqref="N122">
    <cfRule type="expression" dxfId="2697" priority="1929">
      <formula>$AC122=2</formula>
    </cfRule>
  </conditionalFormatting>
  <conditionalFormatting sqref="N122">
    <cfRule type="expression" dxfId="2696" priority="1928">
      <formula>N122&gt;F122</formula>
    </cfRule>
  </conditionalFormatting>
  <conditionalFormatting sqref="G122">
    <cfRule type="expression" dxfId="2695" priority="1915">
      <formula>G122&gt;F122</formula>
    </cfRule>
  </conditionalFormatting>
  <conditionalFormatting sqref="J121:K122">
    <cfRule type="expression" dxfId="2694" priority="1919">
      <formula>$AD121=4</formula>
    </cfRule>
    <cfRule type="expression" dxfId="2693" priority="1920">
      <formula>$AD121=3</formula>
    </cfRule>
    <cfRule type="expression" dxfId="2692" priority="1921">
      <formula>$AD121=2</formula>
    </cfRule>
    <cfRule type="expression" dxfId="2691" priority="1922">
      <formula>$AD121=1</formula>
    </cfRule>
  </conditionalFormatting>
  <conditionalFormatting sqref="J121:K122">
    <cfRule type="expression" dxfId="2690" priority="1918">
      <formula>$AC121=2</formula>
    </cfRule>
  </conditionalFormatting>
  <conditionalFormatting sqref="L121:L122">
    <cfRule type="expression" dxfId="2689" priority="1917">
      <formula>$AC121=2</formula>
    </cfRule>
  </conditionalFormatting>
  <conditionalFormatting sqref="G122">
    <cfRule type="expression" dxfId="2688" priority="1916">
      <formula>$AC122=2</formula>
    </cfRule>
  </conditionalFormatting>
  <conditionalFormatting sqref="O121:O122">
    <cfRule type="expression" dxfId="2687" priority="1914">
      <formula>$AC121=2</formula>
    </cfRule>
  </conditionalFormatting>
  <conditionalFormatting sqref="V121:V122">
    <cfRule type="expression" dxfId="2686" priority="1913">
      <formula>$AC121=2</formula>
    </cfRule>
  </conditionalFormatting>
  <conditionalFormatting sqref="U122">
    <cfRule type="expression" dxfId="2685" priority="1912">
      <formula>$AC122=2</formula>
    </cfRule>
  </conditionalFormatting>
  <conditionalFormatting sqref="U122">
    <cfRule type="expression" dxfId="2684" priority="1911">
      <formula>U122&gt;F122</formula>
    </cfRule>
  </conditionalFormatting>
  <conditionalFormatting sqref="Q123:R123">
    <cfRule type="expression" dxfId="2683" priority="1905">
      <formula>$AE123=4</formula>
    </cfRule>
    <cfRule type="expression" dxfId="2682" priority="1906">
      <formula>$AE123=3</formula>
    </cfRule>
    <cfRule type="expression" dxfId="2681" priority="1907">
      <formula>$AE123=2</formula>
    </cfRule>
    <cfRule type="expression" dxfId="2680" priority="1908">
      <formula>$AE123=1</formula>
    </cfRule>
  </conditionalFormatting>
  <conditionalFormatting sqref="X123:Y123">
    <cfRule type="expression" dxfId="2679" priority="1901">
      <formula>$AF123=4</formula>
    </cfRule>
    <cfRule type="expression" dxfId="2678" priority="1902">
      <formula>$AF123=3</formula>
    </cfRule>
    <cfRule type="expression" dxfId="2677" priority="1903">
      <formula>$AF123=2</formula>
    </cfRule>
    <cfRule type="expression" dxfId="2676" priority="1904">
      <formula>$AF123=1</formula>
    </cfRule>
  </conditionalFormatting>
  <conditionalFormatting sqref="N123">
    <cfRule type="expression" dxfId="2675" priority="1900">
      <formula>$AC123=2</formula>
    </cfRule>
  </conditionalFormatting>
  <conditionalFormatting sqref="N123">
    <cfRule type="expression" dxfId="2674" priority="1899">
      <formula>N123&gt;F123</formula>
    </cfRule>
  </conditionalFormatting>
  <conditionalFormatting sqref="G123">
    <cfRule type="expression" dxfId="2673" priority="1886">
      <formula>G123&gt;F123</formula>
    </cfRule>
  </conditionalFormatting>
  <conditionalFormatting sqref="J123:K123">
    <cfRule type="expression" dxfId="2672" priority="1890">
      <formula>$AD123=4</formula>
    </cfRule>
    <cfRule type="expression" dxfId="2671" priority="1891">
      <formula>$AD123=3</formula>
    </cfRule>
    <cfRule type="expression" dxfId="2670" priority="1892">
      <formula>$AD123=2</formula>
    </cfRule>
    <cfRule type="expression" dxfId="2669" priority="1893">
      <formula>$AD123=1</formula>
    </cfRule>
  </conditionalFormatting>
  <conditionalFormatting sqref="J123:K123">
    <cfRule type="expression" dxfId="2668" priority="1889">
      <formula>$AC123=2</formula>
    </cfRule>
  </conditionalFormatting>
  <conditionalFormatting sqref="L123">
    <cfRule type="expression" dxfId="2667" priority="1888">
      <formula>$AC123=2</formula>
    </cfRule>
  </conditionalFormatting>
  <conditionalFormatting sqref="G123">
    <cfRule type="expression" dxfId="2666" priority="1887">
      <formula>$AC123=2</formula>
    </cfRule>
  </conditionalFormatting>
  <conditionalFormatting sqref="O123">
    <cfRule type="expression" dxfId="2665" priority="1885">
      <formula>$AC123=2</formula>
    </cfRule>
  </conditionalFormatting>
  <conditionalFormatting sqref="V123">
    <cfRule type="expression" dxfId="2664" priority="1884">
      <formula>$AC123=2</formula>
    </cfRule>
  </conditionalFormatting>
  <conditionalFormatting sqref="U123">
    <cfRule type="expression" dxfId="2663" priority="1883">
      <formula>$AC123=2</formula>
    </cfRule>
  </conditionalFormatting>
  <conditionalFormatting sqref="U123">
    <cfRule type="expression" dxfId="2662" priority="1882">
      <formula>U123&gt;F123</formula>
    </cfRule>
  </conditionalFormatting>
  <conditionalFormatting sqref="Q125:R127">
    <cfRule type="expression" dxfId="2661" priority="1876">
      <formula>$AE125=4</formula>
    </cfRule>
    <cfRule type="expression" dxfId="2660" priority="1877">
      <formula>$AE125=3</formula>
    </cfRule>
    <cfRule type="expression" dxfId="2659" priority="1878">
      <formula>$AE125=2</formula>
    </cfRule>
    <cfRule type="expression" dxfId="2658" priority="1879">
      <formula>$AE125=1</formula>
    </cfRule>
  </conditionalFormatting>
  <conditionalFormatting sqref="X125:Y127">
    <cfRule type="expression" dxfId="2657" priority="1872">
      <formula>$AF125=4</formula>
    </cfRule>
    <cfRule type="expression" dxfId="2656" priority="1873">
      <formula>$AF125=3</formula>
    </cfRule>
    <cfRule type="expression" dxfId="2655" priority="1874">
      <formula>$AF125=2</formula>
    </cfRule>
    <cfRule type="expression" dxfId="2654" priority="1875">
      <formula>$AF125=1</formula>
    </cfRule>
  </conditionalFormatting>
  <conditionalFormatting sqref="N126:N127">
    <cfRule type="expression" dxfId="2653" priority="1871">
      <formula>$AC126=2</formula>
    </cfRule>
  </conditionalFormatting>
  <conditionalFormatting sqref="N126:N127">
    <cfRule type="expression" dxfId="2652" priority="1870">
      <formula>N126&gt;F126</formula>
    </cfRule>
  </conditionalFormatting>
  <conditionalFormatting sqref="G126:G127">
    <cfRule type="expression" dxfId="2651" priority="1857">
      <formula>G126&gt;F126</formula>
    </cfRule>
  </conditionalFormatting>
  <conditionalFormatting sqref="J125:K127">
    <cfRule type="expression" dxfId="2650" priority="1861">
      <formula>$AD125=4</formula>
    </cfRule>
    <cfRule type="expression" dxfId="2649" priority="1862">
      <formula>$AD125=3</formula>
    </cfRule>
    <cfRule type="expression" dxfId="2648" priority="1863">
      <formula>$AD125=2</formula>
    </cfRule>
    <cfRule type="expression" dxfId="2647" priority="1864">
      <formula>$AD125=1</formula>
    </cfRule>
  </conditionalFormatting>
  <conditionalFormatting sqref="J125:K127">
    <cfRule type="expression" dxfId="2646" priority="1860">
      <formula>$AC125=2</formula>
    </cfRule>
  </conditionalFormatting>
  <conditionalFormatting sqref="L125:L127">
    <cfRule type="expression" dxfId="2645" priority="1859">
      <formula>$AC125=2</formula>
    </cfRule>
  </conditionalFormatting>
  <conditionalFormatting sqref="G126:G127">
    <cfRule type="expression" dxfId="2644" priority="1858">
      <formula>$AC126=2</formula>
    </cfRule>
  </conditionalFormatting>
  <conditionalFormatting sqref="O125:O127">
    <cfRule type="expression" dxfId="2643" priority="1856">
      <formula>$AC125=2</formula>
    </cfRule>
  </conditionalFormatting>
  <conditionalFormatting sqref="V125:V127">
    <cfRule type="expression" dxfId="2642" priority="1855">
      <formula>$AC125=2</formula>
    </cfRule>
  </conditionalFormatting>
  <conditionalFormatting sqref="U126:U127">
    <cfRule type="expression" dxfId="2641" priority="1854">
      <formula>$AC126=2</formula>
    </cfRule>
  </conditionalFormatting>
  <conditionalFormatting sqref="U126:U127">
    <cfRule type="expression" dxfId="2640" priority="1853">
      <formula>U126&gt;F126</formula>
    </cfRule>
  </conditionalFormatting>
  <conditionalFormatting sqref="Q129:R131">
    <cfRule type="expression" dxfId="2639" priority="1847">
      <formula>$AE129=4</formula>
    </cfRule>
    <cfRule type="expression" dxfId="2638" priority="1848">
      <formula>$AE129=3</formula>
    </cfRule>
    <cfRule type="expression" dxfId="2637" priority="1849">
      <formula>$AE129=2</formula>
    </cfRule>
    <cfRule type="expression" dxfId="2636" priority="1850">
      <formula>$AE129=1</formula>
    </cfRule>
  </conditionalFormatting>
  <conditionalFormatting sqref="X129:Y131">
    <cfRule type="expression" dxfId="2635" priority="1843">
      <formula>$AF129=4</formula>
    </cfRule>
    <cfRule type="expression" dxfId="2634" priority="1844">
      <formula>$AF129=3</formula>
    </cfRule>
    <cfRule type="expression" dxfId="2633" priority="1845">
      <formula>$AF129=2</formula>
    </cfRule>
    <cfRule type="expression" dxfId="2632" priority="1846">
      <formula>$AF129=1</formula>
    </cfRule>
  </conditionalFormatting>
  <conditionalFormatting sqref="N130:N131">
    <cfRule type="expression" dxfId="2631" priority="1842">
      <formula>$AC130=2</formula>
    </cfRule>
  </conditionalFormatting>
  <conditionalFormatting sqref="N130:N131">
    <cfRule type="expression" dxfId="2630" priority="1841">
      <formula>N130&gt;F130</formula>
    </cfRule>
  </conditionalFormatting>
  <conditionalFormatting sqref="G130:G131">
    <cfRule type="expression" dxfId="2629" priority="1828">
      <formula>G130&gt;F130</formula>
    </cfRule>
  </conditionalFormatting>
  <conditionalFormatting sqref="J129:K131">
    <cfRule type="expression" dxfId="2628" priority="1832">
      <formula>$AD129=4</formula>
    </cfRule>
    <cfRule type="expression" dxfId="2627" priority="1833">
      <formula>$AD129=3</formula>
    </cfRule>
    <cfRule type="expression" dxfId="2626" priority="1834">
      <formula>$AD129=2</formula>
    </cfRule>
    <cfRule type="expression" dxfId="2625" priority="1835">
      <formula>$AD129=1</formula>
    </cfRule>
  </conditionalFormatting>
  <conditionalFormatting sqref="J129:K131">
    <cfRule type="expression" dxfId="2624" priority="1831">
      <formula>$AC129=2</formula>
    </cfRule>
  </conditionalFormatting>
  <conditionalFormatting sqref="L129:L131">
    <cfRule type="expression" dxfId="2623" priority="1830">
      <formula>$AC129=2</formula>
    </cfRule>
  </conditionalFormatting>
  <conditionalFormatting sqref="G130:G131">
    <cfRule type="expression" dxfId="2622" priority="1829">
      <formula>$AC130=2</formula>
    </cfRule>
  </conditionalFormatting>
  <conditionalFormatting sqref="O129:O131">
    <cfRule type="expression" dxfId="2621" priority="1827">
      <formula>$AC129=2</formula>
    </cfRule>
  </conditionalFormatting>
  <conditionalFormatting sqref="V129:V131">
    <cfRule type="expression" dxfId="2620" priority="1826">
      <formula>$AC129=2</formula>
    </cfRule>
  </conditionalFormatting>
  <conditionalFormatting sqref="U130:U131">
    <cfRule type="expression" dxfId="2619" priority="1825">
      <formula>$AC130=2</formula>
    </cfRule>
  </conditionalFormatting>
  <conditionalFormatting sqref="U130:U131">
    <cfRule type="expression" dxfId="2618" priority="1824">
      <formula>U130&gt;F130</formula>
    </cfRule>
  </conditionalFormatting>
  <conditionalFormatting sqref="Q133:R136">
    <cfRule type="expression" dxfId="2617" priority="1818">
      <formula>$AE133=4</formula>
    </cfRule>
    <cfRule type="expression" dxfId="2616" priority="1819">
      <formula>$AE133=3</formula>
    </cfRule>
    <cfRule type="expression" dxfId="2615" priority="1820">
      <formula>$AE133=2</formula>
    </cfRule>
    <cfRule type="expression" dxfId="2614" priority="1821">
      <formula>$AE133=1</formula>
    </cfRule>
  </conditionalFormatting>
  <conditionalFormatting sqref="X133:Y136">
    <cfRule type="expression" dxfId="2613" priority="1814">
      <formula>$AF133=4</formula>
    </cfRule>
    <cfRule type="expression" dxfId="2612" priority="1815">
      <formula>$AF133=3</formula>
    </cfRule>
    <cfRule type="expression" dxfId="2611" priority="1816">
      <formula>$AF133=2</formula>
    </cfRule>
    <cfRule type="expression" dxfId="2610" priority="1817">
      <formula>$AF133=1</formula>
    </cfRule>
  </conditionalFormatting>
  <conditionalFormatting sqref="N134:N136">
    <cfRule type="expression" dxfId="2609" priority="1813">
      <formula>$AC134=2</formula>
    </cfRule>
  </conditionalFormatting>
  <conditionalFormatting sqref="N134:N136">
    <cfRule type="expression" dxfId="2608" priority="1812">
      <formula>N134&gt;F134</formula>
    </cfRule>
  </conditionalFormatting>
  <conditionalFormatting sqref="G134:G136">
    <cfRule type="expression" dxfId="2607" priority="1799">
      <formula>G134&gt;F134</formula>
    </cfRule>
  </conditionalFormatting>
  <conditionalFormatting sqref="J133:K134">
    <cfRule type="expression" dxfId="2606" priority="1803">
      <formula>$AD133=4</formula>
    </cfRule>
    <cfRule type="expression" dxfId="2605" priority="1804">
      <formula>$AD133=3</formula>
    </cfRule>
    <cfRule type="expression" dxfId="2604" priority="1805">
      <formula>$AD133=2</formula>
    </cfRule>
    <cfRule type="expression" dxfId="2603" priority="1806">
      <formula>$AD133=1</formula>
    </cfRule>
  </conditionalFormatting>
  <conditionalFormatting sqref="J133:K134">
    <cfRule type="expression" dxfId="2602" priority="1802">
      <formula>$AC133=2</formula>
    </cfRule>
  </conditionalFormatting>
  <conditionalFormatting sqref="L133:L136">
    <cfRule type="expression" dxfId="2601" priority="1801">
      <formula>$AC133=2</formula>
    </cfRule>
  </conditionalFormatting>
  <conditionalFormatting sqref="G134:G136">
    <cfRule type="expression" dxfId="2600" priority="1800">
      <formula>$AC134=2</formula>
    </cfRule>
  </conditionalFormatting>
  <conditionalFormatting sqref="O133:O136">
    <cfRule type="expression" dxfId="2599" priority="1798">
      <formula>$AC133=2</formula>
    </cfRule>
  </conditionalFormatting>
  <conditionalFormatting sqref="V133:V136">
    <cfRule type="expression" dxfId="2598" priority="1797">
      <formula>$AC133=2</formula>
    </cfRule>
  </conditionalFormatting>
  <conditionalFormatting sqref="U134:U136">
    <cfRule type="expression" dxfId="2597" priority="1796">
      <formula>$AC134=2</formula>
    </cfRule>
  </conditionalFormatting>
  <conditionalFormatting sqref="U134:U136">
    <cfRule type="expression" dxfId="2596" priority="1795">
      <formula>U134&gt;F134</formula>
    </cfRule>
  </conditionalFormatting>
  <conditionalFormatting sqref="Q140:R142">
    <cfRule type="expression" dxfId="2595" priority="1789">
      <formula>$AE140=4</formula>
    </cfRule>
    <cfRule type="expression" dxfId="2594" priority="1790">
      <formula>$AE140=3</formula>
    </cfRule>
    <cfRule type="expression" dxfId="2593" priority="1791">
      <formula>$AE140=2</formula>
    </cfRule>
    <cfRule type="expression" dxfId="2592" priority="1792">
      <formula>$AE140=1</formula>
    </cfRule>
  </conditionalFormatting>
  <conditionalFormatting sqref="X140:Y142">
    <cfRule type="expression" dxfId="2591" priority="1785">
      <formula>$AF140=4</formula>
    </cfRule>
    <cfRule type="expression" dxfId="2590" priority="1786">
      <formula>$AF140=3</formula>
    </cfRule>
    <cfRule type="expression" dxfId="2589" priority="1787">
      <formula>$AF140=2</formula>
    </cfRule>
    <cfRule type="expression" dxfId="2588" priority="1788">
      <formula>$AF140=1</formula>
    </cfRule>
  </conditionalFormatting>
  <conditionalFormatting sqref="N140:N142">
    <cfRule type="expression" dxfId="2587" priority="1784">
      <formula>$AC140=2</formula>
    </cfRule>
  </conditionalFormatting>
  <conditionalFormatting sqref="N140:N142">
    <cfRule type="expression" dxfId="2586" priority="1783">
      <formula>N140&gt;F140</formula>
    </cfRule>
  </conditionalFormatting>
  <conditionalFormatting sqref="G140:G142">
    <cfRule type="expression" dxfId="2585" priority="1770">
      <formula>G140&gt;F140</formula>
    </cfRule>
  </conditionalFormatting>
  <conditionalFormatting sqref="J140:K142">
    <cfRule type="expression" dxfId="2584" priority="1774">
      <formula>$AD140=4</formula>
    </cfRule>
    <cfRule type="expression" dxfId="2583" priority="1775">
      <formula>$AD140=3</formula>
    </cfRule>
    <cfRule type="expression" dxfId="2582" priority="1776">
      <formula>$AD140=2</formula>
    </cfRule>
    <cfRule type="expression" dxfId="2581" priority="1777">
      <formula>$AD140=1</formula>
    </cfRule>
  </conditionalFormatting>
  <conditionalFormatting sqref="J140:K142">
    <cfRule type="expression" dxfId="2580" priority="1773">
      <formula>$AC140=2</formula>
    </cfRule>
  </conditionalFormatting>
  <conditionalFormatting sqref="L140:L142">
    <cfRule type="expression" dxfId="2579" priority="1772">
      <formula>$AC140=2</formula>
    </cfRule>
  </conditionalFormatting>
  <conditionalFormatting sqref="G140:G142">
    <cfRule type="expression" dxfId="2578" priority="1771">
      <formula>$AC140=2</formula>
    </cfRule>
  </conditionalFormatting>
  <conditionalFormatting sqref="O140:O142">
    <cfRule type="expression" dxfId="2577" priority="1769">
      <formula>$AC140=2</formula>
    </cfRule>
  </conditionalFormatting>
  <conditionalFormatting sqref="V140:V142">
    <cfRule type="expression" dxfId="2576" priority="1768">
      <formula>$AC140=2</formula>
    </cfRule>
  </conditionalFormatting>
  <conditionalFormatting sqref="U140:U142">
    <cfRule type="expression" dxfId="2575" priority="1767">
      <formula>$AC140=2</formula>
    </cfRule>
  </conditionalFormatting>
  <conditionalFormatting sqref="U140:U142">
    <cfRule type="expression" dxfId="2574" priority="1766">
      <formula>U140&gt;F140</formula>
    </cfRule>
  </conditionalFormatting>
  <conditionalFormatting sqref="Q144:R146">
    <cfRule type="expression" dxfId="2573" priority="1760">
      <formula>$AE144=4</formula>
    </cfRule>
    <cfRule type="expression" dxfId="2572" priority="1761">
      <formula>$AE144=3</formula>
    </cfRule>
    <cfRule type="expression" dxfId="2571" priority="1762">
      <formula>$AE144=2</formula>
    </cfRule>
    <cfRule type="expression" dxfId="2570" priority="1763">
      <formula>$AE144=1</formula>
    </cfRule>
  </conditionalFormatting>
  <conditionalFormatting sqref="X144:Y146">
    <cfRule type="expression" dxfId="2569" priority="1756">
      <formula>$AF144=4</formula>
    </cfRule>
    <cfRule type="expression" dxfId="2568" priority="1757">
      <formula>$AF144=3</formula>
    </cfRule>
    <cfRule type="expression" dxfId="2567" priority="1758">
      <formula>$AF144=2</formula>
    </cfRule>
    <cfRule type="expression" dxfId="2566" priority="1759">
      <formula>$AF144=1</formula>
    </cfRule>
  </conditionalFormatting>
  <conditionalFormatting sqref="N144:N146">
    <cfRule type="expression" dxfId="2565" priority="1755">
      <formula>$AC144=2</formula>
    </cfRule>
  </conditionalFormatting>
  <conditionalFormatting sqref="N144:N146">
    <cfRule type="expression" dxfId="2564" priority="1754">
      <formula>N144&gt;F144</formula>
    </cfRule>
  </conditionalFormatting>
  <conditionalFormatting sqref="G144:G146">
    <cfRule type="expression" dxfId="2563" priority="1741">
      <formula>G144&gt;F144</formula>
    </cfRule>
  </conditionalFormatting>
  <conditionalFormatting sqref="J144:K146">
    <cfRule type="expression" dxfId="2562" priority="1745">
      <formula>$AD144=4</formula>
    </cfRule>
    <cfRule type="expression" dxfId="2561" priority="1746">
      <formula>$AD144=3</formula>
    </cfRule>
    <cfRule type="expression" dxfId="2560" priority="1747">
      <formula>$AD144=2</formula>
    </cfRule>
    <cfRule type="expression" dxfId="2559" priority="1748">
      <formula>$AD144=1</formula>
    </cfRule>
  </conditionalFormatting>
  <conditionalFormatting sqref="J144:K146">
    <cfRule type="expression" dxfId="2558" priority="1744">
      <formula>$AC144=2</formula>
    </cfRule>
  </conditionalFormatting>
  <conditionalFormatting sqref="L144:L146">
    <cfRule type="expression" dxfId="2557" priority="1743">
      <formula>$AC144=2</formula>
    </cfRule>
  </conditionalFormatting>
  <conditionalFormatting sqref="G144:G146">
    <cfRule type="expression" dxfId="2556" priority="1742">
      <formula>$AC144=2</formula>
    </cfRule>
  </conditionalFormatting>
  <conditionalFormatting sqref="O144:O146">
    <cfRule type="expression" dxfId="2555" priority="1740">
      <formula>$AC144=2</formula>
    </cfRule>
  </conditionalFormatting>
  <conditionalFormatting sqref="V144:V146">
    <cfRule type="expression" dxfId="2554" priority="1739">
      <formula>$AC144=2</formula>
    </cfRule>
  </conditionalFormatting>
  <conditionalFormatting sqref="U144:U146">
    <cfRule type="expression" dxfId="2553" priority="1738">
      <formula>$AC144=2</formula>
    </cfRule>
  </conditionalFormatting>
  <conditionalFormatting sqref="U144:U146">
    <cfRule type="expression" dxfId="2552" priority="1737">
      <formula>U144&gt;F144</formula>
    </cfRule>
  </conditionalFormatting>
  <conditionalFormatting sqref="Q152:R154">
    <cfRule type="expression" dxfId="2551" priority="1731">
      <formula>$AE152=4</formula>
    </cfRule>
    <cfRule type="expression" dxfId="2550" priority="1732">
      <formula>$AE152=3</formula>
    </cfRule>
    <cfRule type="expression" dxfId="2549" priority="1733">
      <formula>$AE152=2</formula>
    </cfRule>
    <cfRule type="expression" dxfId="2548" priority="1734">
      <formula>$AE152=1</formula>
    </cfRule>
  </conditionalFormatting>
  <conditionalFormatting sqref="X152:Y154">
    <cfRule type="expression" dxfId="2547" priority="1727">
      <formula>$AF152=4</formula>
    </cfRule>
    <cfRule type="expression" dxfId="2546" priority="1728">
      <formula>$AF152=3</formula>
    </cfRule>
    <cfRule type="expression" dxfId="2545" priority="1729">
      <formula>$AF152=2</formula>
    </cfRule>
    <cfRule type="expression" dxfId="2544" priority="1730">
      <formula>$AF152=1</formula>
    </cfRule>
  </conditionalFormatting>
  <conditionalFormatting sqref="N153:N154">
    <cfRule type="expression" dxfId="2543" priority="1726">
      <formula>$AC153=2</formula>
    </cfRule>
  </conditionalFormatting>
  <conditionalFormatting sqref="N153:N154">
    <cfRule type="expression" dxfId="2542" priority="1725">
      <formula>N153&gt;F153</formula>
    </cfRule>
  </conditionalFormatting>
  <conditionalFormatting sqref="G153:G154">
    <cfRule type="expression" dxfId="2541" priority="1712">
      <formula>G153&gt;F153</formula>
    </cfRule>
  </conditionalFormatting>
  <conditionalFormatting sqref="J152:K154">
    <cfRule type="expression" dxfId="2540" priority="1716">
      <formula>$AD152=4</formula>
    </cfRule>
    <cfRule type="expression" dxfId="2539" priority="1717">
      <formula>$AD152=3</formula>
    </cfRule>
    <cfRule type="expression" dxfId="2538" priority="1718">
      <formula>$AD152=2</formula>
    </cfRule>
    <cfRule type="expression" dxfId="2537" priority="1719">
      <formula>$AD152=1</formula>
    </cfRule>
  </conditionalFormatting>
  <conditionalFormatting sqref="J152:K154">
    <cfRule type="expression" dxfId="2536" priority="1715">
      <formula>$AC152=2</formula>
    </cfRule>
  </conditionalFormatting>
  <conditionalFormatting sqref="L152:L155">
    <cfRule type="expression" dxfId="2535" priority="1714">
      <formula>$AC152=2</formula>
    </cfRule>
  </conditionalFormatting>
  <conditionalFormatting sqref="G153:G154">
    <cfRule type="expression" dxfId="2534" priority="1713">
      <formula>$AC153=2</formula>
    </cfRule>
  </conditionalFormatting>
  <conditionalFormatting sqref="O152:O154">
    <cfRule type="expression" dxfId="2533" priority="1711">
      <formula>$AC152=2</formula>
    </cfRule>
  </conditionalFormatting>
  <conditionalFormatting sqref="V152:V154">
    <cfRule type="expression" dxfId="2532" priority="1710">
      <formula>$AC152=2</formula>
    </cfRule>
  </conditionalFormatting>
  <conditionalFormatting sqref="U153:U154">
    <cfRule type="expression" dxfId="2531" priority="1709">
      <formula>$AC153=2</formula>
    </cfRule>
  </conditionalFormatting>
  <conditionalFormatting sqref="U153:U154">
    <cfRule type="expression" dxfId="2530" priority="1708">
      <formula>U153&gt;F153</formula>
    </cfRule>
  </conditionalFormatting>
  <conditionalFormatting sqref="Q157:R157">
    <cfRule type="expression" dxfId="2529" priority="1702">
      <formula>$AE157=4</formula>
    </cfRule>
    <cfRule type="expression" dxfId="2528" priority="1703">
      <formula>$AE157=3</formula>
    </cfRule>
    <cfRule type="expression" dxfId="2527" priority="1704">
      <formula>$AE157=2</formula>
    </cfRule>
    <cfRule type="expression" dxfId="2526" priority="1705">
      <formula>$AE157=1</formula>
    </cfRule>
  </conditionalFormatting>
  <conditionalFormatting sqref="X157:Y157">
    <cfRule type="expression" dxfId="2525" priority="1698">
      <formula>$AF157=4</formula>
    </cfRule>
    <cfRule type="expression" dxfId="2524" priority="1699">
      <formula>$AF157=3</formula>
    </cfRule>
    <cfRule type="expression" dxfId="2523" priority="1700">
      <formula>$AF157=2</formula>
    </cfRule>
    <cfRule type="expression" dxfId="2522" priority="1701">
      <formula>$AF157=1</formula>
    </cfRule>
  </conditionalFormatting>
  <conditionalFormatting sqref="N157">
    <cfRule type="expression" dxfId="2521" priority="1697">
      <formula>$AC157=2</formula>
    </cfRule>
  </conditionalFormatting>
  <conditionalFormatting sqref="N157">
    <cfRule type="expression" dxfId="2520" priority="1696">
      <formula>N157&gt;F157</formula>
    </cfRule>
  </conditionalFormatting>
  <conditionalFormatting sqref="G157">
    <cfRule type="expression" dxfId="2519" priority="1683">
      <formula>G157&gt;F157</formula>
    </cfRule>
  </conditionalFormatting>
  <conditionalFormatting sqref="J157:K157">
    <cfRule type="expression" dxfId="2518" priority="1687">
      <formula>$AD157=4</formula>
    </cfRule>
    <cfRule type="expression" dxfId="2517" priority="1688">
      <formula>$AD157=3</formula>
    </cfRule>
    <cfRule type="expression" dxfId="2516" priority="1689">
      <formula>$AD157=2</formula>
    </cfRule>
    <cfRule type="expression" dxfId="2515" priority="1690">
      <formula>$AD157=1</formula>
    </cfRule>
  </conditionalFormatting>
  <conditionalFormatting sqref="J157:K157">
    <cfRule type="expression" dxfId="2514" priority="1686">
      <formula>$AC157=2</formula>
    </cfRule>
  </conditionalFormatting>
  <conditionalFormatting sqref="L157">
    <cfRule type="expression" dxfId="2513" priority="1685">
      <formula>$AC157=2</formula>
    </cfRule>
  </conditionalFormatting>
  <conditionalFormatting sqref="G157">
    <cfRule type="expression" dxfId="2512" priority="1684">
      <formula>$AC157=2</formula>
    </cfRule>
  </conditionalFormatting>
  <conditionalFormatting sqref="O157">
    <cfRule type="expression" dxfId="2511" priority="1682">
      <formula>$AC157=2</formula>
    </cfRule>
  </conditionalFormatting>
  <conditionalFormatting sqref="V157">
    <cfRule type="expression" dxfId="2510" priority="1681">
      <formula>$AC157=2</formula>
    </cfRule>
  </conditionalFormatting>
  <conditionalFormatting sqref="U157">
    <cfRule type="expression" dxfId="2509" priority="1680">
      <formula>$AC157=2</formula>
    </cfRule>
  </conditionalFormatting>
  <conditionalFormatting sqref="U157">
    <cfRule type="expression" dxfId="2508" priority="1679">
      <formula>U157&gt;F157</formula>
    </cfRule>
  </conditionalFormatting>
  <conditionalFormatting sqref="Q159:R159">
    <cfRule type="expression" dxfId="2507" priority="1673">
      <formula>$AE159=4</formula>
    </cfRule>
    <cfRule type="expression" dxfId="2506" priority="1674">
      <formula>$AE159=3</formula>
    </cfRule>
    <cfRule type="expression" dxfId="2505" priority="1675">
      <formula>$AE159=2</formula>
    </cfRule>
    <cfRule type="expression" dxfId="2504" priority="1676">
      <formula>$AE159=1</formula>
    </cfRule>
  </conditionalFormatting>
  <conditionalFormatting sqref="X159:Y159">
    <cfRule type="expression" dxfId="2503" priority="1669">
      <formula>$AF159=4</formula>
    </cfRule>
    <cfRule type="expression" dxfId="2502" priority="1670">
      <formula>$AF159=3</formula>
    </cfRule>
    <cfRule type="expression" dxfId="2501" priority="1671">
      <formula>$AF159=2</formula>
    </cfRule>
    <cfRule type="expression" dxfId="2500" priority="1672">
      <formula>$AF159=1</formula>
    </cfRule>
  </conditionalFormatting>
  <conditionalFormatting sqref="N159">
    <cfRule type="expression" dxfId="2499" priority="1668">
      <formula>$AC159=2</formula>
    </cfRule>
  </conditionalFormatting>
  <conditionalFormatting sqref="N159">
    <cfRule type="expression" dxfId="2498" priority="1667">
      <formula>N159&gt;F159</formula>
    </cfRule>
  </conditionalFormatting>
  <conditionalFormatting sqref="G159">
    <cfRule type="expression" dxfId="2497" priority="1654">
      <formula>G159&gt;F159</formula>
    </cfRule>
  </conditionalFormatting>
  <conditionalFormatting sqref="J159:K159">
    <cfRule type="expression" dxfId="2496" priority="1658">
      <formula>$AD159=4</formula>
    </cfRule>
    <cfRule type="expression" dxfId="2495" priority="1659">
      <formula>$AD159=3</formula>
    </cfRule>
    <cfRule type="expression" dxfId="2494" priority="1660">
      <formula>$AD159=2</formula>
    </cfRule>
    <cfRule type="expression" dxfId="2493" priority="1661">
      <formula>$AD159=1</formula>
    </cfRule>
  </conditionalFormatting>
  <conditionalFormatting sqref="J159:K159">
    <cfRule type="expression" dxfId="2492" priority="1657">
      <formula>$AC159=2</formula>
    </cfRule>
  </conditionalFormatting>
  <conditionalFormatting sqref="L159">
    <cfRule type="expression" dxfId="2491" priority="1656">
      <formula>$AC159=2</formula>
    </cfRule>
  </conditionalFormatting>
  <conditionalFormatting sqref="G159">
    <cfRule type="expression" dxfId="2490" priority="1655">
      <formula>$AC159=2</formula>
    </cfRule>
  </conditionalFormatting>
  <conditionalFormatting sqref="O159">
    <cfRule type="expression" dxfId="2489" priority="1653">
      <formula>$AC159=2</formula>
    </cfRule>
  </conditionalFormatting>
  <conditionalFormatting sqref="V159">
    <cfRule type="expression" dxfId="2488" priority="1652">
      <formula>$AC159=2</formula>
    </cfRule>
  </conditionalFormatting>
  <conditionalFormatting sqref="U159">
    <cfRule type="expression" dxfId="2487" priority="1651">
      <formula>$AC159=2</formula>
    </cfRule>
  </conditionalFormatting>
  <conditionalFormatting sqref="U159">
    <cfRule type="expression" dxfId="2486" priority="1650">
      <formula>U159&gt;F159</formula>
    </cfRule>
  </conditionalFormatting>
  <conditionalFormatting sqref="Q161:R161">
    <cfRule type="expression" dxfId="2485" priority="1644">
      <formula>$AE161=4</formula>
    </cfRule>
    <cfRule type="expression" dxfId="2484" priority="1645">
      <formula>$AE161=3</formula>
    </cfRule>
    <cfRule type="expression" dxfId="2483" priority="1646">
      <formula>$AE161=2</formula>
    </cfRule>
    <cfRule type="expression" dxfId="2482" priority="1647">
      <formula>$AE161=1</formula>
    </cfRule>
  </conditionalFormatting>
  <conditionalFormatting sqref="X161:Y161">
    <cfRule type="expression" dxfId="2481" priority="1640">
      <formula>$AF161=4</formula>
    </cfRule>
    <cfRule type="expression" dxfId="2480" priority="1641">
      <formula>$AF161=3</formula>
    </cfRule>
    <cfRule type="expression" dxfId="2479" priority="1642">
      <formula>$AF161=2</formula>
    </cfRule>
    <cfRule type="expression" dxfId="2478" priority="1643">
      <formula>$AF161=1</formula>
    </cfRule>
  </conditionalFormatting>
  <conditionalFormatting sqref="N161">
    <cfRule type="expression" dxfId="2477" priority="1639">
      <formula>$AC161=2</formula>
    </cfRule>
  </conditionalFormatting>
  <conditionalFormatting sqref="N161">
    <cfRule type="expression" dxfId="2476" priority="1638">
      <formula>N161&gt;F161</formula>
    </cfRule>
  </conditionalFormatting>
  <conditionalFormatting sqref="G161">
    <cfRule type="expression" dxfId="2475" priority="1625">
      <formula>G161&gt;F161</formula>
    </cfRule>
  </conditionalFormatting>
  <conditionalFormatting sqref="J161:K161">
    <cfRule type="expression" dxfId="2474" priority="1629">
      <formula>$AD161=4</formula>
    </cfRule>
    <cfRule type="expression" dxfId="2473" priority="1630">
      <formula>$AD161=3</formula>
    </cfRule>
    <cfRule type="expression" dxfId="2472" priority="1631">
      <formula>$AD161=2</formula>
    </cfRule>
    <cfRule type="expression" dxfId="2471" priority="1632">
      <formula>$AD161=1</formula>
    </cfRule>
  </conditionalFormatting>
  <conditionalFormatting sqref="J161:K161">
    <cfRule type="expression" dxfId="2470" priority="1628">
      <formula>$AC161=2</formula>
    </cfRule>
  </conditionalFormatting>
  <conditionalFormatting sqref="L161">
    <cfRule type="expression" dxfId="2469" priority="1627">
      <formula>$AC161=2</formula>
    </cfRule>
  </conditionalFormatting>
  <conditionalFormatting sqref="G161">
    <cfRule type="expression" dxfId="2468" priority="1626">
      <formula>$AC161=2</formula>
    </cfRule>
  </conditionalFormatting>
  <conditionalFormatting sqref="O161">
    <cfRule type="expression" dxfId="2467" priority="1624">
      <formula>$AC161=2</formula>
    </cfRule>
  </conditionalFormatting>
  <conditionalFormatting sqref="V161">
    <cfRule type="expression" dxfId="2466" priority="1623">
      <formula>$AC161=2</formula>
    </cfRule>
  </conditionalFormatting>
  <conditionalFormatting sqref="U161">
    <cfRule type="expression" dxfId="2465" priority="1622">
      <formula>$AC161=2</formula>
    </cfRule>
  </conditionalFormatting>
  <conditionalFormatting sqref="U161">
    <cfRule type="expression" dxfId="2464" priority="1621">
      <formula>U161&gt;F161</formula>
    </cfRule>
  </conditionalFormatting>
  <conditionalFormatting sqref="Q166:R166 R167">
    <cfRule type="expression" dxfId="2463" priority="1615">
      <formula>$AE166=4</formula>
    </cfRule>
    <cfRule type="expression" dxfId="2462" priority="1616">
      <formula>$AE166=3</formula>
    </cfRule>
    <cfRule type="expression" dxfId="2461" priority="1617">
      <formula>$AE166=2</formula>
    </cfRule>
    <cfRule type="expression" dxfId="2460" priority="1618">
      <formula>$AE166=1</formula>
    </cfRule>
  </conditionalFormatting>
  <conditionalFormatting sqref="X166:Y166">
    <cfRule type="expression" dxfId="2459" priority="1611">
      <formula>$AF166=4</formula>
    </cfRule>
    <cfRule type="expression" dxfId="2458" priority="1612">
      <formula>$AF166=3</formula>
    </cfRule>
    <cfRule type="expression" dxfId="2457" priority="1613">
      <formula>$AF166=2</formula>
    </cfRule>
    <cfRule type="expression" dxfId="2456" priority="1614">
      <formula>$AF166=1</formula>
    </cfRule>
  </conditionalFormatting>
  <conditionalFormatting sqref="N166">
    <cfRule type="expression" dxfId="2455" priority="1610">
      <formula>$AC166=2</formula>
    </cfRule>
  </conditionalFormatting>
  <conditionalFormatting sqref="N166">
    <cfRule type="expression" dxfId="2454" priority="1609">
      <formula>N166&gt;F166</formula>
    </cfRule>
  </conditionalFormatting>
  <conditionalFormatting sqref="G166">
    <cfRule type="expression" dxfId="2453" priority="1596">
      <formula>G166&gt;F166</formula>
    </cfRule>
  </conditionalFormatting>
  <conditionalFormatting sqref="J166:K166 K167">
    <cfRule type="expression" dxfId="2452" priority="1600">
      <formula>$AD166=4</formula>
    </cfRule>
    <cfRule type="expression" dxfId="2451" priority="1601">
      <formula>$AD166=3</formula>
    </cfRule>
    <cfRule type="expression" dxfId="2450" priority="1602">
      <formula>$AD166=2</formula>
    </cfRule>
    <cfRule type="expression" dxfId="2449" priority="1603">
      <formula>$AD166=1</formula>
    </cfRule>
  </conditionalFormatting>
  <conditionalFormatting sqref="J166:K166 K167">
    <cfRule type="expression" dxfId="2448" priority="1599">
      <formula>$AC166=2</formula>
    </cfRule>
  </conditionalFormatting>
  <conditionalFormatting sqref="L166:L167">
    <cfRule type="expression" dxfId="2447" priority="1598">
      <formula>$AC166=2</formula>
    </cfRule>
  </conditionalFormatting>
  <conditionalFormatting sqref="G166">
    <cfRule type="expression" dxfId="2446" priority="1597">
      <formula>$AC166=2</formula>
    </cfRule>
  </conditionalFormatting>
  <conditionalFormatting sqref="O166">
    <cfRule type="expression" dxfId="2445" priority="1595">
      <formula>$AC166=2</formula>
    </cfRule>
  </conditionalFormatting>
  <conditionalFormatting sqref="V166">
    <cfRule type="expression" dxfId="2444" priority="1594">
      <formula>$AC166=2</formula>
    </cfRule>
  </conditionalFormatting>
  <conditionalFormatting sqref="U166">
    <cfRule type="expression" dxfId="2443" priority="1593">
      <formula>$AC166=2</formula>
    </cfRule>
  </conditionalFormatting>
  <conditionalFormatting sqref="U166">
    <cfRule type="expression" dxfId="2442" priority="1592">
      <formula>U166&gt;F166</formula>
    </cfRule>
  </conditionalFormatting>
  <conditionalFormatting sqref="Q169:R171">
    <cfRule type="expression" dxfId="2441" priority="1586">
      <formula>$AE169=4</formula>
    </cfRule>
    <cfRule type="expression" dxfId="2440" priority="1587">
      <formula>$AE169=3</formula>
    </cfRule>
    <cfRule type="expression" dxfId="2439" priority="1588">
      <formula>$AE169=2</formula>
    </cfRule>
    <cfRule type="expression" dxfId="2438" priority="1589">
      <formula>$AE169=1</formula>
    </cfRule>
  </conditionalFormatting>
  <conditionalFormatting sqref="X169:Y171">
    <cfRule type="expression" dxfId="2437" priority="1582">
      <formula>$AF169=4</formula>
    </cfRule>
    <cfRule type="expression" dxfId="2436" priority="1583">
      <formula>$AF169=3</formula>
    </cfRule>
    <cfRule type="expression" dxfId="2435" priority="1584">
      <formula>$AF169=2</formula>
    </cfRule>
    <cfRule type="expression" dxfId="2434" priority="1585">
      <formula>$AF169=1</formula>
    </cfRule>
  </conditionalFormatting>
  <conditionalFormatting sqref="N170:N171">
    <cfRule type="expression" dxfId="2433" priority="1581">
      <formula>$AC170=2</formula>
    </cfRule>
  </conditionalFormatting>
  <conditionalFormatting sqref="N170:N171">
    <cfRule type="expression" dxfId="2432" priority="1580">
      <formula>N170&gt;F170</formula>
    </cfRule>
  </conditionalFormatting>
  <conditionalFormatting sqref="G170:G171">
    <cfRule type="expression" dxfId="2431" priority="1567">
      <formula>G170&gt;F170</formula>
    </cfRule>
  </conditionalFormatting>
  <conditionalFormatting sqref="J169:K171">
    <cfRule type="expression" dxfId="2430" priority="1571">
      <formula>$AD169=4</formula>
    </cfRule>
    <cfRule type="expression" dxfId="2429" priority="1572">
      <formula>$AD169=3</formula>
    </cfRule>
    <cfRule type="expression" dxfId="2428" priority="1573">
      <formula>$AD169=2</formula>
    </cfRule>
    <cfRule type="expression" dxfId="2427" priority="1574">
      <formula>$AD169=1</formula>
    </cfRule>
  </conditionalFormatting>
  <conditionalFormatting sqref="J169:K171">
    <cfRule type="expression" dxfId="2426" priority="1570">
      <formula>$AC169=2</formula>
    </cfRule>
  </conditionalFormatting>
  <conditionalFormatting sqref="L169:L171">
    <cfRule type="expression" dxfId="2425" priority="1569">
      <formula>$AC169=2</formula>
    </cfRule>
  </conditionalFormatting>
  <conditionalFormatting sqref="G170:G171">
    <cfRule type="expression" dxfId="2424" priority="1568">
      <formula>$AC170=2</formula>
    </cfRule>
  </conditionalFormatting>
  <conditionalFormatting sqref="O169:O171">
    <cfRule type="expression" dxfId="2423" priority="1566">
      <formula>$AC169=2</formula>
    </cfRule>
  </conditionalFormatting>
  <conditionalFormatting sqref="V169:V171">
    <cfRule type="expression" dxfId="2422" priority="1565">
      <formula>$AC169=2</formula>
    </cfRule>
  </conditionalFormatting>
  <conditionalFormatting sqref="U170:U171">
    <cfRule type="expression" dxfId="2421" priority="1564">
      <formula>$AC170=2</formula>
    </cfRule>
  </conditionalFormatting>
  <conditionalFormatting sqref="U170:U171">
    <cfRule type="expression" dxfId="2420" priority="1563">
      <formula>U170&gt;F170</formula>
    </cfRule>
  </conditionalFormatting>
  <conditionalFormatting sqref="N174:N175">
    <cfRule type="expression" dxfId="2419" priority="1552">
      <formula>$AC174=2</formula>
    </cfRule>
  </conditionalFormatting>
  <conditionalFormatting sqref="N174:N175">
    <cfRule type="expression" dxfId="2418" priority="1551">
      <formula>N174&gt;F174</formula>
    </cfRule>
  </conditionalFormatting>
  <conditionalFormatting sqref="G174:G175">
    <cfRule type="expression" dxfId="2417" priority="1538">
      <formula>G174&gt;F174</formula>
    </cfRule>
  </conditionalFormatting>
  <conditionalFormatting sqref="G174:G175">
    <cfRule type="expression" dxfId="2416" priority="1539">
      <formula>$AC174=2</formula>
    </cfRule>
  </conditionalFormatting>
  <conditionalFormatting sqref="U174:U175">
    <cfRule type="expression" dxfId="2415" priority="1535">
      <formula>$AC174=2</formula>
    </cfRule>
  </conditionalFormatting>
  <conditionalFormatting sqref="U174:U175">
    <cfRule type="expression" dxfId="2414" priority="1534">
      <formula>U174&gt;F174</formula>
    </cfRule>
  </conditionalFormatting>
  <conditionalFormatting sqref="Q177:R179">
    <cfRule type="expression" dxfId="2413" priority="1528">
      <formula>$AE177=4</formula>
    </cfRule>
    <cfRule type="expression" dxfId="2412" priority="1529">
      <formula>$AE177=3</formula>
    </cfRule>
    <cfRule type="expression" dxfId="2411" priority="1530">
      <formula>$AE177=2</formula>
    </cfRule>
    <cfRule type="expression" dxfId="2410" priority="1531">
      <formula>$AE177=1</formula>
    </cfRule>
  </conditionalFormatting>
  <conditionalFormatting sqref="X177:Y179">
    <cfRule type="expression" dxfId="2409" priority="1524">
      <formula>$AF177=4</formula>
    </cfRule>
    <cfRule type="expression" dxfId="2408" priority="1525">
      <formula>$AF177=3</formula>
    </cfRule>
    <cfRule type="expression" dxfId="2407" priority="1526">
      <formula>$AF177=2</formula>
    </cfRule>
    <cfRule type="expression" dxfId="2406" priority="1527">
      <formula>$AF177=1</formula>
    </cfRule>
  </conditionalFormatting>
  <conditionalFormatting sqref="N178:N179">
    <cfRule type="expression" dxfId="2405" priority="1523">
      <formula>$AC178=2</formula>
    </cfRule>
  </conditionalFormatting>
  <conditionalFormatting sqref="N178:N179">
    <cfRule type="expression" dxfId="2404" priority="1522">
      <formula>N178&gt;F178</formula>
    </cfRule>
  </conditionalFormatting>
  <conditionalFormatting sqref="G178:G179">
    <cfRule type="expression" dxfId="2403" priority="1509">
      <formula>G178&gt;F178</formula>
    </cfRule>
  </conditionalFormatting>
  <conditionalFormatting sqref="J177:K179">
    <cfRule type="expression" dxfId="2402" priority="1513">
      <formula>$AD177=4</formula>
    </cfRule>
    <cfRule type="expression" dxfId="2401" priority="1514">
      <formula>$AD177=3</formula>
    </cfRule>
    <cfRule type="expression" dxfId="2400" priority="1515">
      <formula>$AD177=2</formula>
    </cfRule>
    <cfRule type="expression" dxfId="2399" priority="1516">
      <formula>$AD177=1</formula>
    </cfRule>
  </conditionalFormatting>
  <conditionalFormatting sqref="J177:K179">
    <cfRule type="expression" dxfId="2398" priority="1512">
      <formula>$AC177=2</formula>
    </cfRule>
  </conditionalFormatting>
  <conditionalFormatting sqref="L177:L179">
    <cfRule type="expression" dxfId="2397" priority="1511">
      <formula>$AC177=2</formula>
    </cfRule>
  </conditionalFormatting>
  <conditionalFormatting sqref="G178:G179">
    <cfRule type="expression" dxfId="2396" priority="1510">
      <formula>$AC178=2</formula>
    </cfRule>
  </conditionalFormatting>
  <conditionalFormatting sqref="O177:O179">
    <cfRule type="expression" dxfId="2395" priority="1508">
      <formula>$AC177=2</formula>
    </cfRule>
  </conditionalFormatting>
  <conditionalFormatting sqref="V177:V179">
    <cfRule type="expression" dxfId="2394" priority="1507">
      <formula>$AC177=2</formula>
    </cfRule>
  </conditionalFormatting>
  <conditionalFormatting sqref="U178:U179">
    <cfRule type="expression" dxfId="2393" priority="1506">
      <formula>$AC178=2</formula>
    </cfRule>
  </conditionalFormatting>
  <conditionalFormatting sqref="U178:U179">
    <cfRule type="expression" dxfId="2392" priority="1505">
      <formula>U178&gt;F178</formula>
    </cfRule>
  </conditionalFormatting>
  <conditionalFormatting sqref="Q181:R183">
    <cfRule type="expression" dxfId="2391" priority="1499">
      <formula>$AE181=4</formula>
    </cfRule>
    <cfRule type="expression" dxfId="2390" priority="1500">
      <formula>$AE181=3</formula>
    </cfRule>
    <cfRule type="expression" dxfId="2389" priority="1501">
      <formula>$AE181=2</formula>
    </cfRule>
    <cfRule type="expression" dxfId="2388" priority="1502">
      <formula>$AE181=1</formula>
    </cfRule>
  </conditionalFormatting>
  <conditionalFormatting sqref="X181:Y183">
    <cfRule type="expression" dxfId="2387" priority="1495">
      <formula>$AF181=4</formula>
    </cfRule>
    <cfRule type="expression" dxfId="2386" priority="1496">
      <formula>$AF181=3</formula>
    </cfRule>
    <cfRule type="expression" dxfId="2385" priority="1497">
      <formula>$AF181=2</formula>
    </cfRule>
    <cfRule type="expression" dxfId="2384" priority="1498">
      <formula>$AF181=1</formula>
    </cfRule>
  </conditionalFormatting>
  <conditionalFormatting sqref="N182:N183">
    <cfRule type="expression" dxfId="2383" priority="1494">
      <formula>$AC182=2</formula>
    </cfRule>
  </conditionalFormatting>
  <conditionalFormatting sqref="N182:N183">
    <cfRule type="expression" dxfId="2382" priority="1493">
      <formula>N182&gt;F182</formula>
    </cfRule>
  </conditionalFormatting>
  <conditionalFormatting sqref="G182:G183">
    <cfRule type="expression" dxfId="2381" priority="1480">
      <formula>G182&gt;F182</formula>
    </cfRule>
  </conditionalFormatting>
  <conditionalFormatting sqref="J181:K183">
    <cfRule type="expression" dxfId="2380" priority="1484">
      <formula>$AD181=4</formula>
    </cfRule>
    <cfRule type="expression" dxfId="2379" priority="1485">
      <formula>$AD181=3</formula>
    </cfRule>
    <cfRule type="expression" dxfId="2378" priority="1486">
      <formula>$AD181=2</formula>
    </cfRule>
    <cfRule type="expression" dxfId="2377" priority="1487">
      <formula>$AD181=1</formula>
    </cfRule>
  </conditionalFormatting>
  <conditionalFormatting sqref="J181:K183">
    <cfRule type="expression" dxfId="2376" priority="1483">
      <formula>$AC181=2</formula>
    </cfRule>
  </conditionalFormatting>
  <conditionalFormatting sqref="L181:L183">
    <cfRule type="expression" dxfId="2375" priority="1482">
      <formula>$AC181=2</formula>
    </cfRule>
  </conditionalFormatting>
  <conditionalFormatting sqref="G182:G183">
    <cfRule type="expression" dxfId="2374" priority="1481">
      <formula>$AC182=2</formula>
    </cfRule>
  </conditionalFormatting>
  <conditionalFormatting sqref="O181:O183">
    <cfRule type="expression" dxfId="2373" priority="1479">
      <formula>$AC181=2</formula>
    </cfRule>
  </conditionalFormatting>
  <conditionalFormatting sqref="V181:V183">
    <cfRule type="expression" dxfId="2372" priority="1478">
      <formula>$AC181=2</formula>
    </cfRule>
  </conditionalFormatting>
  <conditionalFormatting sqref="U182:U183">
    <cfRule type="expression" dxfId="2371" priority="1477">
      <formula>$AC182=2</formula>
    </cfRule>
  </conditionalFormatting>
  <conditionalFormatting sqref="U182:U183">
    <cfRule type="expression" dxfId="2370" priority="1476">
      <formula>U182&gt;F182</formula>
    </cfRule>
  </conditionalFormatting>
  <conditionalFormatting sqref="Q185:R185">
    <cfRule type="expression" dxfId="2369" priority="1470">
      <formula>$AE185=4</formula>
    </cfRule>
    <cfRule type="expression" dxfId="2368" priority="1471">
      <formula>$AE185=3</formula>
    </cfRule>
    <cfRule type="expression" dxfId="2367" priority="1472">
      <formula>$AE185=2</formula>
    </cfRule>
    <cfRule type="expression" dxfId="2366" priority="1473">
      <formula>$AE185=1</formula>
    </cfRule>
  </conditionalFormatting>
  <conditionalFormatting sqref="X185:Y185">
    <cfRule type="expression" dxfId="2365" priority="1466">
      <formula>$AF185=4</formula>
    </cfRule>
    <cfRule type="expression" dxfId="2364" priority="1467">
      <formula>$AF185=3</formula>
    </cfRule>
    <cfRule type="expression" dxfId="2363" priority="1468">
      <formula>$AF185=2</formula>
    </cfRule>
    <cfRule type="expression" dxfId="2362" priority="1469">
      <formula>$AF185=1</formula>
    </cfRule>
  </conditionalFormatting>
  <conditionalFormatting sqref="N185">
    <cfRule type="expression" dxfId="2361" priority="1465">
      <formula>$AC185=2</formula>
    </cfRule>
  </conditionalFormatting>
  <conditionalFormatting sqref="N185">
    <cfRule type="expression" dxfId="2360" priority="1464">
      <formula>N185&gt;F185</formula>
    </cfRule>
  </conditionalFormatting>
  <conditionalFormatting sqref="G185">
    <cfRule type="expression" dxfId="2359" priority="1451">
      <formula>G185&gt;F185</formula>
    </cfRule>
  </conditionalFormatting>
  <conditionalFormatting sqref="J185:K185">
    <cfRule type="expression" dxfId="2358" priority="1455">
      <formula>$AD185=4</formula>
    </cfRule>
    <cfRule type="expression" dxfId="2357" priority="1456">
      <formula>$AD185=3</formula>
    </cfRule>
    <cfRule type="expression" dxfId="2356" priority="1457">
      <formula>$AD185=2</formula>
    </cfRule>
    <cfRule type="expression" dxfId="2355" priority="1458">
      <formula>$AD185=1</formula>
    </cfRule>
  </conditionalFormatting>
  <conditionalFormatting sqref="J185:K185">
    <cfRule type="expression" dxfId="2354" priority="1454">
      <formula>$AC185=2</formula>
    </cfRule>
  </conditionalFormatting>
  <conditionalFormatting sqref="L185">
    <cfRule type="expression" dxfId="2353" priority="1453">
      <formula>$AC185=2</formula>
    </cfRule>
  </conditionalFormatting>
  <conditionalFormatting sqref="G185">
    <cfRule type="expression" dxfId="2352" priority="1452">
      <formula>$AC185=2</formula>
    </cfRule>
  </conditionalFormatting>
  <conditionalFormatting sqref="O185">
    <cfRule type="expression" dxfId="2351" priority="1450">
      <formula>$AC185=2</formula>
    </cfRule>
  </conditionalFormatting>
  <conditionalFormatting sqref="V185">
    <cfRule type="expression" dxfId="2350" priority="1449">
      <formula>$AC185=2</formula>
    </cfRule>
  </conditionalFormatting>
  <conditionalFormatting sqref="U185">
    <cfRule type="expression" dxfId="2349" priority="1448">
      <formula>$AC185=2</formula>
    </cfRule>
  </conditionalFormatting>
  <conditionalFormatting sqref="U185">
    <cfRule type="expression" dxfId="2348" priority="1447">
      <formula>U185&gt;F185</formula>
    </cfRule>
  </conditionalFormatting>
  <conditionalFormatting sqref="Q187:R188">
    <cfRule type="expression" dxfId="2347" priority="1441">
      <formula>$AE187=4</formula>
    </cfRule>
    <cfRule type="expression" dxfId="2346" priority="1442">
      <formula>$AE187=3</formula>
    </cfRule>
    <cfRule type="expression" dxfId="2345" priority="1443">
      <formula>$AE187=2</formula>
    </cfRule>
    <cfRule type="expression" dxfId="2344" priority="1444">
      <formula>$AE187=1</formula>
    </cfRule>
  </conditionalFormatting>
  <conditionalFormatting sqref="X187:Y188">
    <cfRule type="expression" dxfId="2343" priority="1437">
      <formula>$AF187=4</formula>
    </cfRule>
    <cfRule type="expression" dxfId="2342" priority="1438">
      <formula>$AF187=3</formula>
    </cfRule>
    <cfRule type="expression" dxfId="2341" priority="1439">
      <formula>$AF187=2</formula>
    </cfRule>
    <cfRule type="expression" dxfId="2340" priority="1440">
      <formula>$AF187=1</formula>
    </cfRule>
  </conditionalFormatting>
  <conditionalFormatting sqref="N188">
    <cfRule type="expression" dxfId="2339" priority="1436">
      <formula>$AC188=2</formula>
    </cfRule>
  </conditionalFormatting>
  <conditionalFormatting sqref="N188">
    <cfRule type="expression" dxfId="2338" priority="1435">
      <formula>N188&gt;F188</formula>
    </cfRule>
  </conditionalFormatting>
  <conditionalFormatting sqref="G188">
    <cfRule type="expression" dxfId="2337" priority="1422">
      <formula>G188&gt;F188</formula>
    </cfRule>
  </conditionalFormatting>
  <conditionalFormatting sqref="J187:K188">
    <cfRule type="expression" dxfId="2336" priority="1426">
      <formula>$AD187=4</formula>
    </cfRule>
    <cfRule type="expression" dxfId="2335" priority="1427">
      <formula>$AD187=3</formula>
    </cfRule>
    <cfRule type="expression" dxfId="2334" priority="1428">
      <formula>$AD187=2</formula>
    </cfRule>
    <cfRule type="expression" dxfId="2333" priority="1429">
      <formula>$AD187=1</formula>
    </cfRule>
  </conditionalFormatting>
  <conditionalFormatting sqref="J187:K188">
    <cfRule type="expression" dxfId="2332" priority="1425">
      <formula>$AC187=2</formula>
    </cfRule>
  </conditionalFormatting>
  <conditionalFormatting sqref="L187:L188">
    <cfRule type="expression" dxfId="2331" priority="1424">
      <formula>$AC187=2</formula>
    </cfRule>
  </conditionalFormatting>
  <conditionalFormatting sqref="G188">
    <cfRule type="expression" dxfId="2330" priority="1423">
      <formula>$AC188=2</formula>
    </cfRule>
  </conditionalFormatting>
  <conditionalFormatting sqref="O187:O188">
    <cfRule type="expression" dxfId="2329" priority="1421">
      <formula>$AC187=2</formula>
    </cfRule>
  </conditionalFormatting>
  <conditionalFormatting sqref="V187:V188">
    <cfRule type="expression" dxfId="2328" priority="1420">
      <formula>$AC187=2</formula>
    </cfRule>
  </conditionalFormatting>
  <conditionalFormatting sqref="U188">
    <cfRule type="expression" dxfId="2327" priority="1419">
      <formula>$AC188=2</formula>
    </cfRule>
  </conditionalFormatting>
  <conditionalFormatting sqref="U188">
    <cfRule type="expression" dxfId="2326" priority="1418">
      <formula>U188&gt;F188</formula>
    </cfRule>
  </conditionalFormatting>
  <conditionalFormatting sqref="Q190:R193">
    <cfRule type="expression" dxfId="2325" priority="1412">
      <formula>$AE190=4</formula>
    </cfRule>
    <cfRule type="expression" dxfId="2324" priority="1413">
      <formula>$AE190=3</formula>
    </cfRule>
    <cfRule type="expression" dxfId="2323" priority="1414">
      <formula>$AE190=2</formula>
    </cfRule>
    <cfRule type="expression" dxfId="2322" priority="1415">
      <formula>$AE190=1</formula>
    </cfRule>
  </conditionalFormatting>
  <conditionalFormatting sqref="X190:Y193">
    <cfRule type="expression" dxfId="2321" priority="1408">
      <formula>$AF190=4</formula>
    </cfRule>
    <cfRule type="expression" dxfId="2320" priority="1409">
      <formula>$AF190=3</formula>
    </cfRule>
    <cfRule type="expression" dxfId="2319" priority="1410">
      <formula>$AF190=2</formula>
    </cfRule>
    <cfRule type="expression" dxfId="2318" priority="1411">
      <formula>$AF190=1</formula>
    </cfRule>
  </conditionalFormatting>
  <conditionalFormatting sqref="N191:N193">
    <cfRule type="expression" dxfId="2317" priority="1407">
      <formula>$AC191=2</formula>
    </cfRule>
  </conditionalFormatting>
  <conditionalFormatting sqref="N191:N193">
    <cfRule type="expression" dxfId="2316" priority="1406">
      <formula>N191&gt;F191</formula>
    </cfRule>
  </conditionalFormatting>
  <conditionalFormatting sqref="G191:G193">
    <cfRule type="expression" dxfId="2315" priority="1393">
      <formula>G191&gt;F191</formula>
    </cfRule>
  </conditionalFormatting>
  <conditionalFormatting sqref="J190:K193">
    <cfRule type="expression" dxfId="2314" priority="1397">
      <formula>$AD190=4</formula>
    </cfRule>
    <cfRule type="expression" dxfId="2313" priority="1398">
      <formula>$AD190=3</formula>
    </cfRule>
    <cfRule type="expression" dxfId="2312" priority="1399">
      <formula>$AD190=2</formula>
    </cfRule>
    <cfRule type="expression" dxfId="2311" priority="1400">
      <formula>$AD190=1</formula>
    </cfRule>
  </conditionalFormatting>
  <conditionalFormatting sqref="J190:K193">
    <cfRule type="expression" dxfId="2310" priority="1396">
      <formula>$AC190=2</formula>
    </cfRule>
  </conditionalFormatting>
  <conditionalFormatting sqref="L190:L193">
    <cfRule type="expression" dxfId="2309" priority="1395">
      <formula>$AC190=2</formula>
    </cfRule>
  </conditionalFormatting>
  <conditionalFormatting sqref="G191:G193">
    <cfRule type="expression" dxfId="2308" priority="1394">
      <formula>$AC191=2</formula>
    </cfRule>
  </conditionalFormatting>
  <conditionalFormatting sqref="O190:O191 O193">
    <cfRule type="expression" dxfId="2307" priority="1392">
      <formula>$AC190=2</formula>
    </cfRule>
  </conditionalFormatting>
  <conditionalFormatting sqref="V190:V191 V193">
    <cfRule type="expression" dxfId="2306" priority="1391">
      <formula>$AC190=2</formula>
    </cfRule>
  </conditionalFormatting>
  <conditionalFormatting sqref="U191:U193">
    <cfRule type="expression" dxfId="2305" priority="1390">
      <formula>$AC191=2</formula>
    </cfRule>
  </conditionalFormatting>
  <conditionalFormatting sqref="U191:U193">
    <cfRule type="expression" dxfId="2304" priority="1389">
      <formula>U191&gt;F191</formula>
    </cfRule>
  </conditionalFormatting>
  <conditionalFormatting sqref="Q203:R204">
    <cfRule type="expression" dxfId="2303" priority="1354">
      <formula>$AE203=4</formula>
    </cfRule>
    <cfRule type="expression" dxfId="2302" priority="1355">
      <formula>$AE203=3</formula>
    </cfRule>
    <cfRule type="expression" dxfId="2301" priority="1356">
      <formula>$AE203=2</formula>
    </cfRule>
    <cfRule type="expression" dxfId="2300" priority="1357">
      <formula>$AE203=1</formula>
    </cfRule>
  </conditionalFormatting>
  <conditionalFormatting sqref="X203:Y204">
    <cfRule type="expression" dxfId="2299" priority="1350">
      <formula>$AF203=4</formula>
    </cfRule>
    <cfRule type="expression" dxfId="2298" priority="1351">
      <formula>$AF203=3</formula>
    </cfRule>
    <cfRule type="expression" dxfId="2297" priority="1352">
      <formula>$AF203=2</formula>
    </cfRule>
    <cfRule type="expression" dxfId="2296" priority="1353">
      <formula>$AF203=1</formula>
    </cfRule>
  </conditionalFormatting>
  <conditionalFormatting sqref="N203:N204">
    <cfRule type="expression" dxfId="2295" priority="1349">
      <formula>$AC203=2</formula>
    </cfRule>
  </conditionalFormatting>
  <conditionalFormatting sqref="N203:N204">
    <cfRule type="expression" dxfId="2294" priority="1348">
      <formula>N203&gt;F203</formula>
    </cfRule>
  </conditionalFormatting>
  <conditionalFormatting sqref="G203:G204">
    <cfRule type="expression" dxfId="2293" priority="1335">
      <formula>G203&gt;F203</formula>
    </cfRule>
  </conditionalFormatting>
  <conditionalFormatting sqref="J203:K204">
    <cfRule type="expression" dxfId="2292" priority="1339">
      <formula>$AD203=4</formula>
    </cfRule>
    <cfRule type="expression" dxfId="2291" priority="1340">
      <formula>$AD203=3</formula>
    </cfRule>
    <cfRule type="expression" dxfId="2290" priority="1341">
      <formula>$AD203=2</formula>
    </cfRule>
    <cfRule type="expression" dxfId="2289" priority="1342">
      <formula>$AD203=1</formula>
    </cfRule>
  </conditionalFormatting>
  <conditionalFormatting sqref="J203:K204">
    <cfRule type="expression" dxfId="2288" priority="1338">
      <formula>$AC203=2</formula>
    </cfRule>
  </conditionalFormatting>
  <conditionalFormatting sqref="L203:L204">
    <cfRule type="expression" dxfId="2287" priority="1337">
      <formula>$AC203=2</formula>
    </cfRule>
  </conditionalFormatting>
  <conditionalFormatting sqref="G203:G204">
    <cfRule type="expression" dxfId="2286" priority="1336">
      <formula>$AC203=2</formula>
    </cfRule>
  </conditionalFormatting>
  <conditionalFormatting sqref="O203:O204">
    <cfRule type="expression" dxfId="2285" priority="1334">
      <formula>$AC203=2</formula>
    </cfRule>
  </conditionalFormatting>
  <conditionalFormatting sqref="V203:V204">
    <cfRule type="expression" dxfId="2284" priority="1333">
      <formula>$AC203=2</formula>
    </cfRule>
  </conditionalFormatting>
  <conditionalFormatting sqref="U203:U204">
    <cfRule type="expression" dxfId="2283" priority="1332">
      <formula>$AC203=2</formula>
    </cfRule>
  </conditionalFormatting>
  <conditionalFormatting sqref="U203:U204">
    <cfRule type="expression" dxfId="2282" priority="1331">
      <formula>U203&gt;F203</formula>
    </cfRule>
  </conditionalFormatting>
  <conditionalFormatting sqref="Q206:R207">
    <cfRule type="expression" dxfId="2281" priority="1325">
      <formula>$AE206=4</formula>
    </cfRule>
    <cfRule type="expression" dxfId="2280" priority="1326">
      <formula>$AE206=3</formula>
    </cfRule>
    <cfRule type="expression" dxfId="2279" priority="1327">
      <formula>$AE206=2</formula>
    </cfRule>
    <cfRule type="expression" dxfId="2278" priority="1328">
      <formula>$AE206=1</formula>
    </cfRule>
  </conditionalFormatting>
  <conditionalFormatting sqref="X206:Y207">
    <cfRule type="expression" dxfId="2277" priority="1321">
      <formula>$AF206=4</formula>
    </cfRule>
    <cfRule type="expression" dxfId="2276" priority="1322">
      <formula>$AF206=3</formula>
    </cfRule>
    <cfRule type="expression" dxfId="2275" priority="1323">
      <formula>$AF206=2</formula>
    </cfRule>
    <cfRule type="expression" dxfId="2274" priority="1324">
      <formula>$AF206=1</formula>
    </cfRule>
  </conditionalFormatting>
  <conditionalFormatting sqref="N206:N207">
    <cfRule type="expression" dxfId="2273" priority="1320">
      <formula>$AC206=2</formula>
    </cfRule>
  </conditionalFormatting>
  <conditionalFormatting sqref="N206:N207">
    <cfRule type="expression" dxfId="2272" priority="1319">
      <formula>N206&gt;F206</formula>
    </cfRule>
  </conditionalFormatting>
  <conditionalFormatting sqref="G206:G207">
    <cfRule type="expression" dxfId="2271" priority="1306">
      <formula>G206&gt;F206</formula>
    </cfRule>
  </conditionalFormatting>
  <conditionalFormatting sqref="J206:K207">
    <cfRule type="expression" dxfId="2270" priority="1310">
      <formula>$AD206=4</formula>
    </cfRule>
    <cfRule type="expression" dxfId="2269" priority="1311">
      <formula>$AD206=3</formula>
    </cfRule>
    <cfRule type="expression" dxfId="2268" priority="1312">
      <formula>$AD206=2</formula>
    </cfRule>
    <cfRule type="expression" dxfId="2267" priority="1313">
      <formula>$AD206=1</formula>
    </cfRule>
  </conditionalFormatting>
  <conditionalFormatting sqref="J206:K207">
    <cfRule type="expression" dxfId="2266" priority="1309">
      <formula>$AC206=2</formula>
    </cfRule>
  </conditionalFormatting>
  <conditionalFormatting sqref="L206:L207">
    <cfRule type="expression" dxfId="2265" priority="1308">
      <formula>$AC206=2</formula>
    </cfRule>
  </conditionalFormatting>
  <conditionalFormatting sqref="G206:G207">
    <cfRule type="expression" dxfId="2264" priority="1307">
      <formula>$AC206=2</formula>
    </cfRule>
  </conditionalFormatting>
  <conditionalFormatting sqref="O206:O207">
    <cfRule type="expression" dxfId="2263" priority="1305">
      <formula>$AC206=2</formula>
    </cfRule>
  </conditionalFormatting>
  <conditionalFormatting sqref="V206:V207">
    <cfRule type="expression" dxfId="2262" priority="1304">
      <formula>$AC206=2</formula>
    </cfRule>
  </conditionalFormatting>
  <conditionalFormatting sqref="U206:U207">
    <cfRule type="expression" dxfId="2261" priority="1303">
      <formula>$AC206=2</formula>
    </cfRule>
  </conditionalFormatting>
  <conditionalFormatting sqref="U206:U207">
    <cfRule type="expression" dxfId="2260" priority="1302">
      <formula>U206&gt;F206</formula>
    </cfRule>
  </conditionalFormatting>
  <conditionalFormatting sqref="Q209:R210">
    <cfRule type="expression" dxfId="2259" priority="1296">
      <formula>$AE209=4</formula>
    </cfRule>
    <cfRule type="expression" dxfId="2258" priority="1297">
      <formula>$AE209=3</formula>
    </cfRule>
    <cfRule type="expression" dxfId="2257" priority="1298">
      <formula>$AE209=2</formula>
    </cfRule>
    <cfRule type="expression" dxfId="2256" priority="1299">
      <formula>$AE209=1</formula>
    </cfRule>
  </conditionalFormatting>
  <conditionalFormatting sqref="X209:Y210">
    <cfRule type="expression" dxfId="2255" priority="1292">
      <formula>$AF209=4</formula>
    </cfRule>
    <cfRule type="expression" dxfId="2254" priority="1293">
      <formula>$AF209=3</formula>
    </cfRule>
    <cfRule type="expression" dxfId="2253" priority="1294">
      <formula>$AF209=2</formula>
    </cfRule>
    <cfRule type="expression" dxfId="2252" priority="1295">
      <formula>$AF209=1</formula>
    </cfRule>
  </conditionalFormatting>
  <conditionalFormatting sqref="N209:N210">
    <cfRule type="expression" dxfId="2251" priority="1291">
      <formula>$AC209=2</formula>
    </cfRule>
  </conditionalFormatting>
  <conditionalFormatting sqref="N209:N210">
    <cfRule type="expression" dxfId="2250" priority="1290">
      <formula>N209&gt;F209</formula>
    </cfRule>
  </conditionalFormatting>
  <conditionalFormatting sqref="G209:G210">
    <cfRule type="expression" dxfId="2249" priority="1277">
      <formula>G209&gt;F209</formula>
    </cfRule>
  </conditionalFormatting>
  <conditionalFormatting sqref="J209:K210">
    <cfRule type="expression" dxfId="2248" priority="1281">
      <formula>$AD209=4</formula>
    </cfRule>
    <cfRule type="expression" dxfId="2247" priority="1282">
      <formula>$AD209=3</formula>
    </cfRule>
    <cfRule type="expression" dxfId="2246" priority="1283">
      <formula>$AD209=2</formula>
    </cfRule>
    <cfRule type="expression" dxfId="2245" priority="1284">
      <formula>$AD209=1</formula>
    </cfRule>
  </conditionalFormatting>
  <conditionalFormatting sqref="J209:K210">
    <cfRule type="expression" dxfId="2244" priority="1280">
      <formula>$AC209=2</formula>
    </cfRule>
  </conditionalFormatting>
  <conditionalFormatting sqref="L209:L210">
    <cfRule type="expression" dxfId="2243" priority="1279">
      <formula>$AC209=2</formula>
    </cfRule>
  </conditionalFormatting>
  <conditionalFormatting sqref="G209:G210">
    <cfRule type="expression" dxfId="2242" priority="1278">
      <formula>$AC209=2</formula>
    </cfRule>
  </conditionalFormatting>
  <conditionalFormatting sqref="O209:O210">
    <cfRule type="expression" dxfId="2241" priority="1276">
      <formula>$AC209=2</formula>
    </cfRule>
  </conditionalFormatting>
  <conditionalFormatting sqref="V209:V210">
    <cfRule type="expression" dxfId="2240" priority="1275">
      <formula>$AC209=2</formula>
    </cfRule>
  </conditionalFormatting>
  <conditionalFormatting sqref="U209:U210">
    <cfRule type="expression" dxfId="2239" priority="1274">
      <formula>$AC209=2</formula>
    </cfRule>
  </conditionalFormatting>
  <conditionalFormatting sqref="U209:U210">
    <cfRule type="expression" dxfId="2238" priority="1273">
      <formula>U209&gt;F209</formula>
    </cfRule>
  </conditionalFormatting>
  <conditionalFormatting sqref="G48">
    <cfRule type="expression" dxfId="2237" priority="1270">
      <formula>$AC48=2</formula>
    </cfRule>
  </conditionalFormatting>
  <conditionalFormatting sqref="G48">
    <cfRule type="expression" dxfId="2236" priority="1269">
      <formula>G48&gt;F48</formula>
    </cfRule>
  </conditionalFormatting>
  <conditionalFormatting sqref="G57">
    <cfRule type="expression" dxfId="2235" priority="1268">
      <formula>$AC57=2</formula>
    </cfRule>
  </conditionalFormatting>
  <conditionalFormatting sqref="G57">
    <cfRule type="expression" dxfId="2234" priority="1267">
      <formula>G57&gt;F57</formula>
    </cfRule>
  </conditionalFormatting>
  <conditionalFormatting sqref="G121">
    <cfRule type="expression" dxfId="2233" priority="1266">
      <formula>$AC121=2</formula>
    </cfRule>
  </conditionalFormatting>
  <conditionalFormatting sqref="G121">
    <cfRule type="expression" dxfId="2232" priority="1265">
      <formula>G121&gt;F121</formula>
    </cfRule>
  </conditionalFormatting>
  <conditionalFormatting sqref="G125">
    <cfRule type="expression" dxfId="2231" priority="1264">
      <formula>$AC125=2</formula>
    </cfRule>
  </conditionalFormatting>
  <conditionalFormatting sqref="G125">
    <cfRule type="expression" dxfId="2230" priority="1263">
      <formula>G125&gt;F125</formula>
    </cfRule>
  </conditionalFormatting>
  <conditionalFormatting sqref="G129">
    <cfRule type="expression" dxfId="2229" priority="1262">
      <formula>$AC129=2</formula>
    </cfRule>
  </conditionalFormatting>
  <conditionalFormatting sqref="G129">
    <cfRule type="expression" dxfId="2228" priority="1261">
      <formula>G129&gt;F129</formula>
    </cfRule>
  </conditionalFormatting>
  <conditionalFormatting sqref="G133">
    <cfRule type="expression" dxfId="2227" priority="1260">
      <formula>$AC133=2</formula>
    </cfRule>
  </conditionalFormatting>
  <conditionalFormatting sqref="G133">
    <cfRule type="expression" dxfId="2226" priority="1259">
      <formula>G133&gt;F133</formula>
    </cfRule>
  </conditionalFormatting>
  <conditionalFormatting sqref="G169">
    <cfRule type="expression" dxfId="2225" priority="1258">
      <formula>$AC169=2</formula>
    </cfRule>
  </conditionalFormatting>
  <conditionalFormatting sqref="G169">
    <cfRule type="expression" dxfId="2224" priority="1257">
      <formula>G169&gt;F169</formula>
    </cfRule>
  </conditionalFormatting>
  <conditionalFormatting sqref="G177">
    <cfRule type="expression" dxfId="2223" priority="1254">
      <formula>$AC177=2</formula>
    </cfRule>
  </conditionalFormatting>
  <conditionalFormatting sqref="G177">
    <cfRule type="expression" dxfId="2222" priority="1253">
      <formula>G177&gt;F177</formula>
    </cfRule>
  </conditionalFormatting>
  <conditionalFormatting sqref="G181">
    <cfRule type="expression" dxfId="2221" priority="1252">
      <formula>$AC181=2</formula>
    </cfRule>
  </conditionalFormatting>
  <conditionalFormatting sqref="G181">
    <cfRule type="expression" dxfId="2220" priority="1251">
      <formula>G181&gt;F181</formula>
    </cfRule>
  </conditionalFormatting>
  <conditionalFormatting sqref="G187">
    <cfRule type="expression" dxfId="2219" priority="1250">
      <formula>$AC187=2</formula>
    </cfRule>
  </conditionalFormatting>
  <conditionalFormatting sqref="G187">
    <cfRule type="expression" dxfId="2218" priority="1249">
      <formula>G187&gt;F187</formula>
    </cfRule>
  </conditionalFormatting>
  <conditionalFormatting sqref="G190">
    <cfRule type="expression" dxfId="2217" priority="1248">
      <formula>$AC190=2</formula>
    </cfRule>
  </conditionalFormatting>
  <conditionalFormatting sqref="G190">
    <cfRule type="expression" dxfId="2216" priority="1247">
      <formula>G190&gt;F190</formula>
    </cfRule>
  </conditionalFormatting>
  <conditionalFormatting sqref="L227">
    <cfRule type="expression" dxfId="2215" priority="1246">
      <formula>$AC227=2</formula>
    </cfRule>
  </conditionalFormatting>
  <conditionalFormatting sqref="J227">
    <cfRule type="expression" dxfId="2214" priority="1242">
      <formula>$AD227=4</formula>
    </cfRule>
    <cfRule type="expression" dxfId="2213" priority="1243">
      <formula>$AD227=3</formula>
    </cfRule>
    <cfRule type="expression" dxfId="2212" priority="1244">
      <formula>$AD227=2</formula>
    </cfRule>
    <cfRule type="expression" dxfId="2211" priority="1245">
      <formula>$AD227=1</formula>
    </cfRule>
  </conditionalFormatting>
  <conditionalFormatting sqref="Q227:R227">
    <cfRule type="expression" dxfId="2210" priority="1238">
      <formula>$AE227=4</formula>
    </cfRule>
    <cfRule type="expression" dxfId="2209" priority="1239">
      <formula>$AE227=3</formula>
    </cfRule>
    <cfRule type="expression" dxfId="2208" priority="1240">
      <formula>$AE227=2</formula>
    </cfRule>
    <cfRule type="expression" dxfId="2207" priority="1241">
      <formula>$AE227=1</formula>
    </cfRule>
  </conditionalFormatting>
  <conditionalFormatting sqref="X227:Y227">
    <cfRule type="expression" dxfId="2206" priority="1234">
      <formula>$AF227=4</formula>
    </cfRule>
    <cfRule type="expression" dxfId="2205" priority="1235">
      <formula>$AF227=3</formula>
    </cfRule>
    <cfRule type="expression" dxfId="2204" priority="1236">
      <formula>$AF227=2</formula>
    </cfRule>
    <cfRule type="expression" dxfId="2203" priority="1237">
      <formula>$AF227=1</formula>
    </cfRule>
  </conditionalFormatting>
  <conditionalFormatting sqref="J227">
    <cfRule type="expression" dxfId="2202" priority="1233">
      <formula>$AC227=2</formula>
    </cfRule>
  </conditionalFormatting>
  <conditionalFormatting sqref="N227">
    <cfRule type="expression" dxfId="2201" priority="1232">
      <formula>N227&gt;F227</formula>
    </cfRule>
  </conditionalFormatting>
  <conditionalFormatting sqref="U227">
    <cfRule type="expression" dxfId="2200" priority="1231">
      <formula>U227&gt;F227</formula>
    </cfRule>
  </conditionalFormatting>
  <conditionalFormatting sqref="K227">
    <cfRule type="expression" dxfId="2199" priority="1223">
      <formula>$AD227=4</formula>
    </cfRule>
    <cfRule type="expression" dxfId="2198" priority="1224">
      <formula>$AD227=3</formula>
    </cfRule>
    <cfRule type="expression" dxfId="2197" priority="1225">
      <formula>$AD227=2</formula>
    </cfRule>
    <cfRule type="expression" dxfId="2196" priority="1226">
      <formula>$AD227=1</formula>
    </cfRule>
  </conditionalFormatting>
  <conditionalFormatting sqref="K227">
    <cfRule type="expression" dxfId="2195" priority="1222">
      <formula>$AC227=2</formula>
    </cfRule>
  </conditionalFormatting>
  <conditionalFormatting sqref="Z227">
    <cfRule type="expression" dxfId="2194" priority="1221">
      <formula>$AC227=2</formula>
    </cfRule>
  </conditionalFormatting>
  <conditionalFormatting sqref="X199:Y199">
    <cfRule type="expression" dxfId="2193" priority="1209">
      <formula>$AF199=4</formula>
    </cfRule>
    <cfRule type="expression" dxfId="2192" priority="1210">
      <formula>$AF199=3</formula>
    </cfRule>
    <cfRule type="expression" dxfId="2191" priority="1211">
      <formula>$AF199=2</formula>
    </cfRule>
    <cfRule type="expression" dxfId="2190" priority="1212">
      <formula>$AF199=1</formula>
    </cfRule>
  </conditionalFormatting>
  <conditionalFormatting sqref="AZ199">
    <cfRule type="expression" dxfId="2189" priority="1208">
      <formula>$AC199=2</formula>
    </cfRule>
  </conditionalFormatting>
  <conditionalFormatting sqref="J201:K201">
    <cfRule type="expression" dxfId="2188" priority="1193">
      <formula>$AD201=4</formula>
    </cfRule>
    <cfRule type="expression" dxfId="2187" priority="1194">
      <formula>$AD201=3</formula>
    </cfRule>
    <cfRule type="expression" dxfId="2186" priority="1195">
      <formula>$AD201=2</formula>
    </cfRule>
    <cfRule type="expression" dxfId="2185" priority="1196">
      <formula>$AD201=1</formula>
    </cfRule>
  </conditionalFormatting>
  <conditionalFormatting sqref="Q201:R201">
    <cfRule type="expression" dxfId="2184" priority="1189">
      <formula>$AE201=4</formula>
    </cfRule>
    <cfRule type="expression" dxfId="2183" priority="1190">
      <formula>$AE201=3</formula>
    </cfRule>
    <cfRule type="expression" dxfId="2182" priority="1191">
      <formula>$AE201=2</formula>
    </cfRule>
    <cfRule type="expression" dxfId="2181" priority="1192">
      <formula>$AE201=1</formula>
    </cfRule>
  </conditionalFormatting>
  <conditionalFormatting sqref="X201:Y201">
    <cfRule type="expression" dxfId="2180" priority="1185">
      <formula>$AF201=4</formula>
    </cfRule>
    <cfRule type="expression" dxfId="2179" priority="1186">
      <formula>$AF201=3</formula>
    </cfRule>
    <cfRule type="expression" dxfId="2178" priority="1187">
      <formula>$AF201=2</formula>
    </cfRule>
    <cfRule type="expression" dxfId="2177" priority="1188">
      <formula>$AF201=1</formula>
    </cfRule>
  </conditionalFormatting>
  <conditionalFormatting sqref="AZ201">
    <cfRule type="expression" dxfId="2176" priority="1184">
      <formula>$AC201=2</formula>
    </cfRule>
  </conditionalFormatting>
  <conditionalFormatting sqref="G201">
    <cfRule type="expression" dxfId="2175" priority="1183">
      <formula>G201&gt;F201</formula>
    </cfRule>
  </conditionalFormatting>
  <conditionalFormatting sqref="N201">
    <cfRule type="expression" dxfId="2174" priority="1182">
      <formula>N201&gt;F201</formula>
    </cfRule>
  </conditionalFormatting>
  <conditionalFormatting sqref="U201">
    <cfRule type="expression" dxfId="2173" priority="1181">
      <formula>U201&gt;F201</formula>
    </cfRule>
  </conditionalFormatting>
  <conditionalFormatting sqref="O214">
    <cfRule type="expression" dxfId="2172" priority="1172">
      <formula>$AC214=2</formula>
    </cfRule>
  </conditionalFormatting>
  <conditionalFormatting sqref="O215">
    <cfRule type="expression" dxfId="2171" priority="1171">
      <formula>$AC215=2</formula>
    </cfRule>
  </conditionalFormatting>
  <conditionalFormatting sqref="O216">
    <cfRule type="expression" dxfId="2170" priority="1170">
      <formula>$AC216=2</formula>
    </cfRule>
  </conditionalFormatting>
  <conditionalFormatting sqref="O217:O227">
    <cfRule type="expression" dxfId="2169" priority="1169">
      <formula>$AC217=2</formula>
    </cfRule>
  </conditionalFormatting>
  <conditionalFormatting sqref="V214:V227">
    <cfRule type="expression" dxfId="2168" priority="1168">
      <formula>$AC214=2</formula>
    </cfRule>
  </conditionalFormatting>
  <conditionalFormatting sqref="Q64:R64">
    <cfRule type="expression" dxfId="2167" priority="1164">
      <formula>$AE64=4</formula>
    </cfRule>
    <cfRule type="expression" dxfId="2166" priority="1165">
      <formula>$AE64=3</formula>
    </cfRule>
    <cfRule type="expression" dxfId="2165" priority="1166">
      <formula>$AE64=2</formula>
    </cfRule>
    <cfRule type="expression" dxfId="2164" priority="1167">
      <formula>$AE64=1</formula>
    </cfRule>
  </conditionalFormatting>
  <conditionalFormatting sqref="Q64:R64">
    <cfRule type="expression" dxfId="2163" priority="1163">
      <formula>$AC64=2</formula>
    </cfRule>
  </conditionalFormatting>
  <conditionalFormatting sqref="U64">
    <cfRule type="expression" dxfId="2162" priority="1162">
      <formula>U64&gt;F64</formula>
    </cfRule>
  </conditionalFormatting>
  <conditionalFormatting sqref="O64">
    <cfRule type="expression" dxfId="2161" priority="1157">
      <formula>$AC64=2</formula>
    </cfRule>
  </conditionalFormatting>
  <conditionalFormatting sqref="V64">
    <cfRule type="expression" dxfId="2160" priority="1156">
      <formula>$AC64=2</formula>
    </cfRule>
  </conditionalFormatting>
  <conditionalFormatting sqref="Q94:R94">
    <cfRule type="expression" dxfId="2159" priority="1152">
      <formula>$AE94=4</formula>
    </cfRule>
    <cfRule type="expression" dxfId="2158" priority="1153">
      <formula>$AE94=3</formula>
    </cfRule>
    <cfRule type="expression" dxfId="2157" priority="1154">
      <formula>$AE94=2</formula>
    </cfRule>
    <cfRule type="expression" dxfId="2156" priority="1155">
      <formula>$AE94=1</formula>
    </cfRule>
  </conditionalFormatting>
  <conditionalFormatting sqref="Q94:R94">
    <cfRule type="expression" dxfId="2155" priority="1151">
      <formula>$AC94=2</formula>
    </cfRule>
  </conditionalFormatting>
  <conditionalFormatting sqref="U94">
    <cfRule type="expression" dxfId="2154" priority="1150">
      <formula>U94&gt;F94</formula>
    </cfRule>
  </conditionalFormatting>
  <conditionalFormatting sqref="O94">
    <cfRule type="expression" dxfId="2153" priority="1145">
      <formula>$AC94=2</formula>
    </cfRule>
  </conditionalFormatting>
  <conditionalFormatting sqref="V94">
    <cfRule type="expression" dxfId="2152" priority="1144">
      <formula>$AC94=2</formula>
    </cfRule>
  </conditionalFormatting>
  <conditionalFormatting sqref="Q103:R103">
    <cfRule type="expression" dxfId="2151" priority="1140">
      <formula>$AE103=4</formula>
    </cfRule>
    <cfRule type="expression" dxfId="2150" priority="1141">
      <formula>$AE103=3</formula>
    </cfRule>
    <cfRule type="expression" dxfId="2149" priority="1142">
      <formula>$AE103=2</formula>
    </cfRule>
    <cfRule type="expression" dxfId="2148" priority="1143">
      <formula>$AE103=1</formula>
    </cfRule>
  </conditionalFormatting>
  <conditionalFormatting sqref="Q103:R103">
    <cfRule type="expression" dxfId="2147" priority="1139">
      <formula>$AC103=2</formula>
    </cfRule>
  </conditionalFormatting>
  <conditionalFormatting sqref="U103">
    <cfRule type="expression" dxfId="2146" priority="1138">
      <formula>U103&gt;F103</formula>
    </cfRule>
  </conditionalFormatting>
  <conditionalFormatting sqref="O103">
    <cfRule type="expression" dxfId="2145" priority="1133">
      <formula>$AC103=2</formula>
    </cfRule>
  </conditionalFormatting>
  <conditionalFormatting sqref="V103">
    <cfRule type="expression" dxfId="2144" priority="1132">
      <formula>$AC103=2</formula>
    </cfRule>
  </conditionalFormatting>
  <conditionalFormatting sqref="Q117:R117">
    <cfRule type="expression" dxfId="2143" priority="1128">
      <formula>$AE117=4</formula>
    </cfRule>
    <cfRule type="expression" dxfId="2142" priority="1129">
      <formula>$AE117=3</formula>
    </cfRule>
    <cfRule type="expression" dxfId="2141" priority="1130">
      <formula>$AE117=2</formula>
    </cfRule>
    <cfRule type="expression" dxfId="2140" priority="1131">
      <formula>$AE117=1</formula>
    </cfRule>
  </conditionalFormatting>
  <conditionalFormatting sqref="Q117:R117">
    <cfRule type="expression" dxfId="2139" priority="1127">
      <formula>$AC117=2</formula>
    </cfRule>
  </conditionalFormatting>
  <conditionalFormatting sqref="U117">
    <cfRule type="expression" dxfId="2138" priority="1126">
      <formula>U117&gt;F117</formula>
    </cfRule>
  </conditionalFormatting>
  <conditionalFormatting sqref="O117">
    <cfRule type="expression" dxfId="2137" priority="1121">
      <formula>$AC117=2</formula>
    </cfRule>
  </conditionalFormatting>
  <conditionalFormatting sqref="V117">
    <cfRule type="expression" dxfId="2136" priority="1120">
      <formula>$AC117=2</formula>
    </cfRule>
  </conditionalFormatting>
  <conditionalFormatting sqref="Q147:R147">
    <cfRule type="expression" dxfId="2135" priority="1116">
      <formula>$AE147=4</formula>
    </cfRule>
    <cfRule type="expression" dxfId="2134" priority="1117">
      <formula>$AE147=3</formula>
    </cfRule>
    <cfRule type="expression" dxfId="2133" priority="1118">
      <formula>$AE147=2</formula>
    </cfRule>
    <cfRule type="expression" dxfId="2132" priority="1119">
      <formula>$AE147=1</formula>
    </cfRule>
  </conditionalFormatting>
  <conditionalFormatting sqref="Q147:R147">
    <cfRule type="expression" dxfId="2131" priority="1115">
      <formula>$AC147=2</formula>
    </cfRule>
  </conditionalFormatting>
  <conditionalFormatting sqref="U147">
    <cfRule type="expression" dxfId="2130" priority="1114">
      <formula>U147&gt;F147</formula>
    </cfRule>
  </conditionalFormatting>
  <conditionalFormatting sqref="O147">
    <cfRule type="expression" dxfId="2129" priority="1109">
      <formula>$AC147=2</formula>
    </cfRule>
  </conditionalFormatting>
  <conditionalFormatting sqref="V147">
    <cfRule type="expression" dxfId="2128" priority="1108">
      <formula>$AC147=2</formula>
    </cfRule>
  </conditionalFormatting>
  <conditionalFormatting sqref="Q162:R162">
    <cfRule type="expression" dxfId="2127" priority="1104">
      <formula>$AE162=4</formula>
    </cfRule>
    <cfRule type="expression" dxfId="2126" priority="1105">
      <formula>$AE162=3</formula>
    </cfRule>
    <cfRule type="expression" dxfId="2125" priority="1106">
      <formula>$AE162=2</formula>
    </cfRule>
    <cfRule type="expression" dxfId="2124" priority="1107">
      <formula>$AE162=1</formula>
    </cfRule>
  </conditionalFormatting>
  <conditionalFormatting sqref="Q162:R162">
    <cfRule type="expression" dxfId="2123" priority="1103">
      <formula>$AC162=2</formula>
    </cfRule>
  </conditionalFormatting>
  <conditionalFormatting sqref="U162">
    <cfRule type="expression" dxfId="2122" priority="1102">
      <formula>U162&gt;F162</formula>
    </cfRule>
  </conditionalFormatting>
  <conditionalFormatting sqref="O162">
    <cfRule type="expression" dxfId="2121" priority="1097">
      <formula>$AC162=2</formula>
    </cfRule>
  </conditionalFormatting>
  <conditionalFormatting sqref="V162">
    <cfRule type="expression" dxfId="2120" priority="1096">
      <formula>$AC162=2</formula>
    </cfRule>
  </conditionalFormatting>
  <conditionalFormatting sqref="Q194:R194">
    <cfRule type="expression" dxfId="2119" priority="1092">
      <formula>$AE194=4</formula>
    </cfRule>
    <cfRule type="expression" dxfId="2118" priority="1093">
      <formula>$AE194=3</formula>
    </cfRule>
    <cfRule type="expression" dxfId="2117" priority="1094">
      <formula>$AE194=2</formula>
    </cfRule>
    <cfRule type="expression" dxfId="2116" priority="1095">
      <formula>$AE194=1</formula>
    </cfRule>
  </conditionalFormatting>
  <conditionalFormatting sqref="Q194:R194">
    <cfRule type="expression" dxfId="2115" priority="1091">
      <formula>$AC194=2</formula>
    </cfRule>
  </conditionalFormatting>
  <conditionalFormatting sqref="U194">
    <cfRule type="expression" dxfId="2114" priority="1090">
      <formula>U194&gt;F194</formula>
    </cfRule>
  </conditionalFormatting>
  <conditionalFormatting sqref="O194">
    <cfRule type="expression" dxfId="2113" priority="1085">
      <formula>$AC194=2</formula>
    </cfRule>
  </conditionalFormatting>
  <conditionalFormatting sqref="V194">
    <cfRule type="expression" dxfId="2112" priority="1084">
      <formula>$AC194=2</formula>
    </cfRule>
  </conditionalFormatting>
  <conditionalFormatting sqref="Q211:R211">
    <cfRule type="expression" dxfId="2111" priority="1080">
      <formula>$AE211=4</formula>
    </cfRule>
    <cfRule type="expression" dxfId="2110" priority="1081">
      <formula>$AE211=3</formula>
    </cfRule>
    <cfRule type="expression" dxfId="2109" priority="1082">
      <formula>$AE211=2</formula>
    </cfRule>
    <cfRule type="expression" dxfId="2108" priority="1083">
      <formula>$AE211=1</formula>
    </cfRule>
  </conditionalFormatting>
  <conditionalFormatting sqref="Q211:R211">
    <cfRule type="expression" dxfId="2107" priority="1079">
      <formula>$AC211=2</formula>
    </cfRule>
  </conditionalFormatting>
  <conditionalFormatting sqref="U211">
    <cfRule type="expression" dxfId="2106" priority="1078">
      <formula>U211&gt;F211</formula>
    </cfRule>
  </conditionalFormatting>
  <conditionalFormatting sqref="O211">
    <cfRule type="expression" dxfId="2105" priority="1073">
      <formula>$AC211=2</formula>
    </cfRule>
  </conditionalFormatting>
  <conditionalFormatting sqref="V211">
    <cfRule type="expression" dxfId="2104" priority="1072">
      <formula>$AC211=2</formula>
    </cfRule>
  </conditionalFormatting>
  <conditionalFormatting sqref="Q228:R228">
    <cfRule type="expression" dxfId="2103" priority="1068">
      <formula>$AE228=4</formula>
    </cfRule>
    <cfRule type="expression" dxfId="2102" priority="1069">
      <formula>$AE228=3</formula>
    </cfRule>
    <cfRule type="expression" dxfId="2101" priority="1070">
      <formula>$AE228=2</formula>
    </cfRule>
    <cfRule type="expression" dxfId="2100" priority="1071">
      <formula>$AE228=1</formula>
    </cfRule>
  </conditionalFormatting>
  <conditionalFormatting sqref="U228">
    <cfRule type="expression" dxfId="2099" priority="1066">
      <formula>U228&gt;F228</formula>
    </cfRule>
  </conditionalFormatting>
  <conditionalFormatting sqref="O228">
    <cfRule type="expression" dxfId="2098" priority="1061">
      <formula>$AC228=2</formula>
    </cfRule>
  </conditionalFormatting>
  <conditionalFormatting sqref="V228">
    <cfRule type="expression" dxfId="2097" priority="1060">
      <formula>$AC228=2</formula>
    </cfRule>
  </conditionalFormatting>
  <conditionalFormatting sqref="N57">
    <cfRule type="expression" dxfId="2096" priority="1059">
      <formula>$AC57=2</formula>
    </cfRule>
  </conditionalFormatting>
  <conditionalFormatting sqref="N57">
    <cfRule type="expression" dxfId="2095" priority="1058">
      <formula>N57&gt;F57</formula>
    </cfRule>
  </conditionalFormatting>
  <conditionalFormatting sqref="N121">
    <cfRule type="expression" dxfId="2094" priority="1055">
      <formula>$AC121=2</formula>
    </cfRule>
  </conditionalFormatting>
  <conditionalFormatting sqref="N121">
    <cfRule type="expression" dxfId="2093" priority="1054">
      <formula>N121&gt;F121</formula>
    </cfRule>
  </conditionalFormatting>
  <conditionalFormatting sqref="N125">
    <cfRule type="expression" dxfId="2092" priority="1051">
      <formula>$AC125=2</formula>
    </cfRule>
  </conditionalFormatting>
  <conditionalFormatting sqref="N125">
    <cfRule type="expression" dxfId="2091" priority="1050">
      <formula>N125&gt;F125</formula>
    </cfRule>
  </conditionalFormatting>
  <conditionalFormatting sqref="N129">
    <cfRule type="expression" dxfId="2090" priority="1047">
      <formula>$AC129=2</formula>
    </cfRule>
  </conditionalFormatting>
  <conditionalFormatting sqref="N129">
    <cfRule type="expression" dxfId="2089" priority="1046">
      <formula>N129&gt;F129</formula>
    </cfRule>
  </conditionalFormatting>
  <conditionalFormatting sqref="N133">
    <cfRule type="expression" dxfId="2088" priority="1043">
      <formula>$AC133=2</formula>
    </cfRule>
  </conditionalFormatting>
  <conditionalFormatting sqref="N133">
    <cfRule type="expression" dxfId="2087" priority="1042">
      <formula>N133&gt;F133</formula>
    </cfRule>
  </conditionalFormatting>
  <conditionalFormatting sqref="N169">
    <cfRule type="expression" dxfId="2086" priority="1039">
      <formula>$AC169=2</formula>
    </cfRule>
  </conditionalFormatting>
  <conditionalFormatting sqref="N169">
    <cfRule type="expression" dxfId="2085" priority="1038">
      <formula>N169&gt;F169</formula>
    </cfRule>
  </conditionalFormatting>
  <conditionalFormatting sqref="N177">
    <cfRule type="expression" dxfId="2084" priority="1031">
      <formula>$AC177=2</formula>
    </cfRule>
  </conditionalFormatting>
  <conditionalFormatting sqref="N177">
    <cfRule type="expression" dxfId="2083" priority="1030">
      <formula>N177&gt;F177</formula>
    </cfRule>
  </conditionalFormatting>
  <conditionalFormatting sqref="N181">
    <cfRule type="expression" dxfId="2082" priority="1027">
      <formula>$AC181=2</formula>
    </cfRule>
  </conditionalFormatting>
  <conditionalFormatting sqref="N181">
    <cfRule type="expression" dxfId="2081" priority="1026">
      <formula>N181&gt;F181</formula>
    </cfRule>
  </conditionalFormatting>
  <conditionalFormatting sqref="N187">
    <cfRule type="expression" dxfId="2080" priority="1023">
      <formula>$AC187=2</formula>
    </cfRule>
  </conditionalFormatting>
  <conditionalFormatting sqref="N187">
    <cfRule type="expression" dxfId="2079" priority="1022">
      <formula>N187&gt;F187</formula>
    </cfRule>
  </conditionalFormatting>
  <conditionalFormatting sqref="N190">
    <cfRule type="expression" dxfId="2078" priority="1019">
      <formula>$AC190=2</formula>
    </cfRule>
  </conditionalFormatting>
  <conditionalFormatting sqref="N190">
    <cfRule type="expression" dxfId="2077" priority="1018">
      <formula>N190&gt;F190</formula>
    </cfRule>
  </conditionalFormatting>
  <conditionalFormatting sqref="U57">
    <cfRule type="expression" dxfId="2076" priority="1015">
      <formula>$AC57=2</formula>
    </cfRule>
  </conditionalFormatting>
  <conditionalFormatting sqref="U57">
    <cfRule type="expression" dxfId="2075" priority="1014">
      <formula>U57&gt;F57</formula>
    </cfRule>
  </conditionalFormatting>
  <conditionalFormatting sqref="U121">
    <cfRule type="expression" dxfId="2074" priority="1011">
      <formula>$AC121=2</formula>
    </cfRule>
  </conditionalFormatting>
  <conditionalFormatting sqref="U121">
    <cfRule type="expression" dxfId="2073" priority="1010">
      <formula>U121&gt;F121</formula>
    </cfRule>
  </conditionalFormatting>
  <conditionalFormatting sqref="U125">
    <cfRule type="expression" dxfId="2072" priority="1007">
      <formula>$AC125=2</formula>
    </cfRule>
  </conditionalFormatting>
  <conditionalFormatting sqref="U125">
    <cfRule type="expression" dxfId="2071" priority="1006">
      <formula>U125&gt;F125</formula>
    </cfRule>
  </conditionalFormatting>
  <conditionalFormatting sqref="U129">
    <cfRule type="expression" dxfId="2070" priority="1003">
      <formula>$AC129=2</formula>
    </cfRule>
  </conditionalFormatting>
  <conditionalFormatting sqref="U129">
    <cfRule type="expression" dxfId="2069" priority="1002">
      <formula>U129&gt;F129</formula>
    </cfRule>
  </conditionalFormatting>
  <conditionalFormatting sqref="U133">
    <cfRule type="expression" dxfId="2068" priority="999">
      <formula>$AC133=2</formula>
    </cfRule>
  </conditionalFormatting>
  <conditionalFormatting sqref="U133">
    <cfRule type="expression" dxfId="2067" priority="998">
      <formula>U133&gt;F133</formula>
    </cfRule>
  </conditionalFormatting>
  <conditionalFormatting sqref="U169">
    <cfRule type="expression" dxfId="2066" priority="995">
      <formula>$AC169=2</formula>
    </cfRule>
  </conditionalFormatting>
  <conditionalFormatting sqref="U169">
    <cfRule type="expression" dxfId="2065" priority="994">
      <formula>U169&gt;F169</formula>
    </cfRule>
  </conditionalFormatting>
  <conditionalFormatting sqref="U177">
    <cfRule type="expression" dxfId="2064" priority="987">
      <formula>$AC177=2</formula>
    </cfRule>
  </conditionalFormatting>
  <conditionalFormatting sqref="U177">
    <cfRule type="expression" dxfId="2063" priority="986">
      <formula>U177&gt;F177</formula>
    </cfRule>
  </conditionalFormatting>
  <conditionalFormatting sqref="U181">
    <cfRule type="expression" dxfId="2062" priority="983">
      <formula>$AC181=2</formula>
    </cfRule>
  </conditionalFormatting>
  <conditionalFormatting sqref="U181">
    <cfRule type="expression" dxfId="2061" priority="982">
      <formula>U181&gt;F181</formula>
    </cfRule>
  </conditionalFormatting>
  <conditionalFormatting sqref="U187">
    <cfRule type="expression" dxfId="2060" priority="979">
      <formula>$AC187=2</formula>
    </cfRule>
  </conditionalFormatting>
  <conditionalFormatting sqref="U187">
    <cfRule type="expression" dxfId="2059" priority="978">
      <formula>U187&gt;F187</formula>
    </cfRule>
  </conditionalFormatting>
  <conditionalFormatting sqref="U190">
    <cfRule type="expression" dxfId="2058" priority="975">
      <formula>$AC190=2</formula>
    </cfRule>
  </conditionalFormatting>
  <conditionalFormatting sqref="U190">
    <cfRule type="expression" dxfId="2057" priority="974">
      <formula>U190&gt;F190</formula>
    </cfRule>
  </conditionalFormatting>
  <conditionalFormatting sqref="AZ137">
    <cfRule type="expression" dxfId="2056" priority="971">
      <formula>$AC137=2</formula>
    </cfRule>
  </conditionalFormatting>
  <conditionalFormatting sqref="AB137">
    <cfRule type="expression" dxfId="2055" priority="969">
      <formula>$AJ$4="Nei"</formula>
    </cfRule>
    <cfRule type="expression" dxfId="2054" priority="970">
      <formula>$AC137=2</formula>
    </cfRule>
  </conditionalFormatting>
  <conditionalFormatting sqref="Q137:R137">
    <cfRule type="expression" dxfId="2053" priority="965">
      <formula>$AE137=4</formula>
    </cfRule>
    <cfRule type="expression" dxfId="2052" priority="966">
      <formula>$AE137=3</formula>
    </cfRule>
    <cfRule type="expression" dxfId="2051" priority="967">
      <formula>$AE137=2</formula>
    </cfRule>
    <cfRule type="expression" dxfId="2050" priority="968">
      <formula>$AE137=1</formula>
    </cfRule>
  </conditionalFormatting>
  <conditionalFormatting sqref="X137:Y137">
    <cfRule type="expression" dxfId="2049" priority="961">
      <formula>$AF137=4</formula>
    </cfRule>
    <cfRule type="expression" dxfId="2048" priority="962">
      <formula>$AF137=3</formula>
    </cfRule>
    <cfRule type="expression" dxfId="2047" priority="963">
      <formula>$AF137=2</formula>
    </cfRule>
    <cfRule type="expression" dxfId="2046" priority="964">
      <formula>$AF137=1</formula>
    </cfRule>
  </conditionalFormatting>
  <conditionalFormatting sqref="N137">
    <cfRule type="expression" dxfId="2045" priority="960">
      <formula>$AC137=2</formula>
    </cfRule>
  </conditionalFormatting>
  <conditionalFormatting sqref="N137">
    <cfRule type="expression" dxfId="2044" priority="959">
      <formula>N137&gt;F137</formula>
    </cfRule>
  </conditionalFormatting>
  <conditionalFormatting sqref="G137">
    <cfRule type="expression" dxfId="2043" priority="946">
      <formula>G137&gt;F137</formula>
    </cfRule>
  </conditionalFormatting>
  <conditionalFormatting sqref="K137">
    <cfRule type="expression" dxfId="2042" priority="950">
      <formula>$AD137=4</formula>
    </cfRule>
    <cfRule type="expression" dxfId="2041" priority="951">
      <formula>$AD137=3</formula>
    </cfRule>
    <cfRule type="expression" dxfId="2040" priority="952">
      <formula>$AD137=2</formula>
    </cfRule>
    <cfRule type="expression" dxfId="2039" priority="953">
      <formula>$AD137=1</formula>
    </cfRule>
  </conditionalFormatting>
  <conditionalFormatting sqref="K137">
    <cfRule type="expression" dxfId="2038" priority="949">
      <formula>$AC137=2</formula>
    </cfRule>
  </conditionalFormatting>
  <conditionalFormatting sqref="L137">
    <cfRule type="expression" dxfId="2037" priority="948">
      <formula>$AC137=2</formula>
    </cfRule>
  </conditionalFormatting>
  <conditionalFormatting sqref="G137">
    <cfRule type="expression" dxfId="2036" priority="947">
      <formula>$AC137=2</formula>
    </cfRule>
  </conditionalFormatting>
  <conditionalFormatting sqref="O137">
    <cfRule type="expression" dxfId="2035" priority="945">
      <formula>$AC137=2</formula>
    </cfRule>
  </conditionalFormatting>
  <conditionalFormatting sqref="V137">
    <cfRule type="expression" dxfId="2034" priority="944">
      <formula>$AC137=2</formula>
    </cfRule>
  </conditionalFormatting>
  <conditionalFormatting sqref="U137">
    <cfRule type="expression" dxfId="2033" priority="943">
      <formula>$AC137=2</formula>
    </cfRule>
  </conditionalFormatting>
  <conditionalFormatting sqref="U137">
    <cfRule type="expression" dxfId="2032" priority="942">
      <formula>U137&gt;F137</formula>
    </cfRule>
  </conditionalFormatting>
  <conditionalFormatting sqref="J200:K200">
    <cfRule type="expression" dxfId="2031" priority="936">
      <formula>$AD200=4</formula>
    </cfRule>
    <cfRule type="expression" dxfId="2030" priority="937">
      <formula>$AD200=3</formula>
    </cfRule>
    <cfRule type="expression" dxfId="2029" priority="938">
      <formula>$AD200=2</formula>
    </cfRule>
    <cfRule type="expression" dxfId="2028" priority="939">
      <formula>$AD200=1</formula>
    </cfRule>
  </conditionalFormatting>
  <conditionalFormatting sqref="Q200:R200">
    <cfRule type="expression" dxfId="2027" priority="932">
      <formula>$AE200=4</formula>
    </cfRule>
    <cfRule type="expression" dxfId="2026" priority="933">
      <formula>$AE200=3</formula>
    </cfRule>
    <cfRule type="expression" dxfId="2025" priority="934">
      <formula>$AE200=2</formula>
    </cfRule>
    <cfRule type="expression" dxfId="2024" priority="935">
      <formula>$AE200=1</formula>
    </cfRule>
  </conditionalFormatting>
  <conditionalFormatting sqref="X200:Y200">
    <cfRule type="expression" dxfId="2023" priority="928">
      <formula>$AF200=4</formula>
    </cfRule>
    <cfRule type="expression" dxfId="2022" priority="929">
      <formula>$AF200=3</formula>
    </cfRule>
    <cfRule type="expression" dxfId="2021" priority="930">
      <formula>$AF200=2</formula>
    </cfRule>
    <cfRule type="expression" dxfId="2020" priority="931">
      <formula>$AF200=1</formula>
    </cfRule>
  </conditionalFormatting>
  <conditionalFormatting sqref="AZ200">
    <cfRule type="expression" dxfId="2019" priority="927">
      <formula>$AC200=2</formula>
    </cfRule>
  </conditionalFormatting>
  <conditionalFormatting sqref="G200">
    <cfRule type="expression" dxfId="2018" priority="926">
      <formula>G200&gt;F200</formula>
    </cfRule>
  </conditionalFormatting>
  <conditionalFormatting sqref="N200">
    <cfRule type="expression" dxfId="2017" priority="925">
      <formula>N200&gt;F200</formula>
    </cfRule>
  </conditionalFormatting>
  <conditionalFormatting sqref="U200">
    <cfRule type="expression" dxfId="2016" priority="924">
      <formula>U200&gt;F200</formula>
    </cfRule>
  </conditionalFormatting>
  <conditionalFormatting sqref="Q199:R199">
    <cfRule type="expression" dxfId="2015" priority="912">
      <formula>$AE199=4</formula>
    </cfRule>
    <cfRule type="expression" dxfId="2014" priority="913">
      <formula>$AE199=3</formula>
    </cfRule>
    <cfRule type="expression" dxfId="2013" priority="914">
      <formula>$AE199=2</formula>
    </cfRule>
    <cfRule type="expression" dxfId="2012" priority="915">
      <formula>$AE199=1</formula>
    </cfRule>
  </conditionalFormatting>
  <conditionalFormatting sqref="H199:I199">
    <cfRule type="expression" dxfId="2011" priority="911">
      <formula>$AC199=2</formula>
    </cfRule>
  </conditionalFormatting>
  <conditionalFormatting sqref="J199:K199">
    <cfRule type="expression" dxfId="2010" priority="904">
      <formula>$AD199=4</formula>
    </cfRule>
    <cfRule type="expression" dxfId="2009" priority="905">
      <formula>$AD199=3</formula>
    </cfRule>
    <cfRule type="expression" dxfId="2008" priority="906">
      <formula>$AD199=2</formula>
    </cfRule>
    <cfRule type="expression" dxfId="2007" priority="907">
      <formula>$AD199=1</formula>
    </cfRule>
  </conditionalFormatting>
  <conditionalFormatting sqref="J199:K199">
    <cfRule type="expression" dxfId="2006" priority="903">
      <formula>$AC199=2</formula>
    </cfRule>
  </conditionalFormatting>
  <conditionalFormatting sqref="L199">
    <cfRule type="expression" dxfId="2005" priority="902">
      <formula>$AC199=2</formula>
    </cfRule>
  </conditionalFormatting>
  <conditionalFormatting sqref="O199">
    <cfRule type="expression" dxfId="2004" priority="901">
      <formula>$AC199=2</formula>
    </cfRule>
  </conditionalFormatting>
  <conditionalFormatting sqref="G199">
    <cfRule type="expression" dxfId="2003" priority="900">
      <formula>$AC199=2</formula>
    </cfRule>
  </conditionalFormatting>
  <conditionalFormatting sqref="G199">
    <cfRule type="expression" dxfId="2002" priority="899">
      <formula>G199&gt;F199</formula>
    </cfRule>
  </conditionalFormatting>
  <conditionalFormatting sqref="N199">
    <cfRule type="expression" dxfId="2001" priority="898">
      <formula>$AC199=2</formula>
    </cfRule>
  </conditionalFormatting>
  <conditionalFormatting sqref="N199">
    <cfRule type="expression" dxfId="2000" priority="897">
      <formula>N199&gt;F199</formula>
    </cfRule>
  </conditionalFormatting>
  <conditionalFormatting sqref="U199">
    <cfRule type="expression" dxfId="1999" priority="894">
      <formula>$AC199=2</formula>
    </cfRule>
  </conditionalFormatting>
  <conditionalFormatting sqref="U199">
    <cfRule type="expression" dxfId="1998" priority="893">
      <formula>U199&gt;F199</formula>
    </cfRule>
  </conditionalFormatting>
  <conditionalFormatting sqref="G26:I26">
    <cfRule type="expression" dxfId="1997" priority="890">
      <formula>$AC26=2</formula>
    </cfRule>
  </conditionalFormatting>
  <conditionalFormatting sqref="L26">
    <cfRule type="expression" dxfId="1996" priority="884">
      <formula>$AC26=2</formula>
    </cfRule>
  </conditionalFormatting>
  <conditionalFormatting sqref="G26">
    <cfRule type="expression" dxfId="1995" priority="883">
      <formula>G26&gt;F26</formula>
    </cfRule>
  </conditionalFormatting>
  <conditionalFormatting sqref="J26:K26">
    <cfRule type="expression" dxfId="1994" priority="886">
      <formula>$AD26=4</formula>
    </cfRule>
    <cfRule type="expression" dxfId="1993" priority="887">
      <formula>$AD26=3</formula>
    </cfRule>
    <cfRule type="expression" dxfId="1992" priority="888">
      <formula>$AD26=2</formula>
    </cfRule>
    <cfRule type="expression" dxfId="1991" priority="889">
      <formula>$AD26=1</formula>
    </cfRule>
  </conditionalFormatting>
  <conditionalFormatting sqref="J26:K26">
    <cfRule type="expression" dxfId="1990" priority="885">
      <formula>$AC26=2</formula>
    </cfRule>
  </conditionalFormatting>
  <conditionalFormatting sqref="Q26:R26">
    <cfRule type="expression" dxfId="1989" priority="879">
      <formula>$AE26=4</formula>
    </cfRule>
    <cfRule type="expression" dxfId="1988" priority="880">
      <formula>$AE26=3</formula>
    </cfRule>
    <cfRule type="expression" dxfId="1987" priority="881">
      <formula>$AE26=2</formula>
    </cfRule>
    <cfRule type="expression" dxfId="1986" priority="882">
      <formula>$AE26=1</formula>
    </cfRule>
  </conditionalFormatting>
  <conditionalFormatting sqref="X26:Y26">
    <cfRule type="expression" dxfId="1985" priority="875">
      <formula>$AF26=4</formula>
    </cfRule>
    <cfRule type="expression" dxfId="1984" priority="876">
      <formula>$AF26=3</formula>
    </cfRule>
    <cfRule type="expression" dxfId="1983" priority="877">
      <formula>$AF26=2</formula>
    </cfRule>
    <cfRule type="expression" dxfId="1982" priority="878">
      <formula>$AF26=1</formula>
    </cfRule>
  </conditionalFormatting>
  <conditionalFormatting sqref="N26">
    <cfRule type="expression" dxfId="1981" priority="874">
      <formula>$AC26=2</formula>
    </cfRule>
  </conditionalFormatting>
  <conditionalFormatting sqref="N26">
    <cfRule type="expression" dxfId="1980" priority="873">
      <formula>N26&gt;F26</formula>
    </cfRule>
  </conditionalFormatting>
  <conditionalFormatting sqref="O26">
    <cfRule type="expression" dxfId="1979" priority="867">
      <formula>$AC26=2</formula>
    </cfRule>
  </conditionalFormatting>
  <conditionalFormatting sqref="V26">
    <cfRule type="expression" dxfId="1978" priority="866">
      <formula>$AC26=2</formula>
    </cfRule>
  </conditionalFormatting>
  <conditionalFormatting sqref="U26">
    <cfRule type="expression" dxfId="1977" priority="865">
      <formula>$AC26=2</formula>
    </cfRule>
  </conditionalFormatting>
  <conditionalFormatting sqref="U26">
    <cfRule type="expression" dxfId="1976" priority="864">
      <formula>U26&gt;F26</formula>
    </cfRule>
  </conditionalFormatting>
  <conditionalFormatting sqref="G27:I27">
    <cfRule type="expression" dxfId="1975" priority="861">
      <formula>$AC27=2</formula>
    </cfRule>
  </conditionalFormatting>
  <conditionalFormatting sqref="L27">
    <cfRule type="expression" dxfId="1974" priority="855">
      <formula>$AC27=2</formula>
    </cfRule>
  </conditionalFormatting>
  <conditionalFormatting sqref="G27">
    <cfRule type="expression" dxfId="1973" priority="854">
      <formula>G27&gt;F27</formula>
    </cfRule>
  </conditionalFormatting>
  <conditionalFormatting sqref="J27:K27">
    <cfRule type="expression" dxfId="1972" priority="857">
      <formula>$AD27=4</formula>
    </cfRule>
    <cfRule type="expression" dxfId="1971" priority="858">
      <formula>$AD27=3</formula>
    </cfRule>
    <cfRule type="expression" dxfId="1970" priority="859">
      <formula>$AD27=2</formula>
    </cfRule>
    <cfRule type="expression" dxfId="1969" priority="860">
      <formula>$AD27=1</formula>
    </cfRule>
  </conditionalFormatting>
  <conditionalFormatting sqref="J27:K27">
    <cfRule type="expression" dxfId="1968" priority="856">
      <formula>$AC27=2</formula>
    </cfRule>
  </conditionalFormatting>
  <conditionalFormatting sqref="Q27:R27">
    <cfRule type="expression" dxfId="1967" priority="850">
      <formula>$AE27=4</formula>
    </cfRule>
    <cfRule type="expression" dxfId="1966" priority="851">
      <formula>$AE27=3</formula>
    </cfRule>
    <cfRule type="expression" dxfId="1965" priority="852">
      <formula>$AE27=2</formula>
    </cfRule>
    <cfRule type="expression" dxfId="1964" priority="853">
      <formula>$AE27=1</formula>
    </cfRule>
  </conditionalFormatting>
  <conditionalFormatting sqref="X27:Y27">
    <cfRule type="expression" dxfId="1963" priority="846">
      <formula>$AF27=4</formula>
    </cfRule>
    <cfRule type="expression" dxfId="1962" priority="847">
      <formula>$AF27=3</formula>
    </cfRule>
    <cfRule type="expression" dxfId="1961" priority="848">
      <formula>$AF27=2</formula>
    </cfRule>
    <cfRule type="expression" dxfId="1960" priority="849">
      <formula>$AF27=1</formula>
    </cfRule>
  </conditionalFormatting>
  <conditionalFormatting sqref="N27">
    <cfRule type="expression" dxfId="1959" priority="845">
      <formula>$AC27=2</formula>
    </cfRule>
  </conditionalFormatting>
  <conditionalFormatting sqref="N27">
    <cfRule type="expression" dxfId="1958" priority="844">
      <formula>N27&gt;F27</formula>
    </cfRule>
  </conditionalFormatting>
  <conditionalFormatting sqref="O27">
    <cfRule type="expression" dxfId="1957" priority="838">
      <formula>$AC27=2</formula>
    </cfRule>
  </conditionalFormatting>
  <conditionalFormatting sqref="V27">
    <cfRule type="expression" dxfId="1956" priority="837">
      <formula>$AC27=2</formula>
    </cfRule>
  </conditionalFormatting>
  <conditionalFormatting sqref="U27">
    <cfRule type="expression" dxfId="1955" priority="836">
      <formula>$AC27=2</formula>
    </cfRule>
  </conditionalFormatting>
  <conditionalFormatting sqref="U27">
    <cfRule type="expression" dxfId="1954" priority="835">
      <formula>U27&gt;F27</formula>
    </cfRule>
  </conditionalFormatting>
  <conditionalFormatting sqref="H88:H100 H42:H70 H102:H106 H156:H166 H168:H228 H72 H108:H138 H152:H154 H140:H150 H74:H86 H11:H39">
    <cfRule type="expression" dxfId="1953" priority="832">
      <formula>F11=0</formula>
    </cfRule>
  </conditionalFormatting>
  <conditionalFormatting sqref="I88:I100 I42:I70 I102:I106 I156:I166 I72 I108:I138 I152:I154 I140:I150 I168:I228 I74:I86 I11:I39">
    <cfRule type="expression" dxfId="1952" priority="831">
      <formula>F11=0</formula>
    </cfRule>
  </conditionalFormatting>
  <conditionalFormatting sqref="O88:O100 O102:O106 O193:O228 O156:O166 O168:O191 O108:O138 O152:O154 O140:O150 O42:O86 O11:O39">
    <cfRule type="expression" dxfId="1951" priority="3106">
      <formula>F11=0</formula>
    </cfRule>
  </conditionalFormatting>
  <conditionalFormatting sqref="V88:V100 V102:V106 V193:V228 V156:V166 V168:V191 V108:V138 V152:V154 V140:V150 V17:V39 V42:V86 V11:V15">
    <cfRule type="expression" dxfId="1950" priority="2319">
      <formula>F11=0</formula>
    </cfRule>
  </conditionalFormatting>
  <conditionalFormatting sqref="AZ87">
    <cfRule type="expression" dxfId="1949" priority="828">
      <formula>$AC87=2</formula>
    </cfRule>
  </conditionalFormatting>
  <conditionalFormatting sqref="AB87">
    <cfRule type="expression" dxfId="1948" priority="826">
      <formula>$AJ$4="Nei"</formula>
    </cfRule>
    <cfRule type="expression" dxfId="1947" priority="827">
      <formula>$AC87=2</formula>
    </cfRule>
  </conditionalFormatting>
  <conditionalFormatting sqref="Q87:R87">
    <cfRule type="expression" dxfId="1946" priority="822">
      <formula>$AE87=4</formula>
    </cfRule>
    <cfRule type="expression" dxfId="1945" priority="823">
      <formula>$AE87=3</formula>
    </cfRule>
    <cfRule type="expression" dxfId="1944" priority="824">
      <formula>$AE87=2</formula>
    </cfRule>
    <cfRule type="expression" dxfId="1943" priority="825">
      <formula>$AE87=1</formula>
    </cfRule>
  </conditionalFormatting>
  <conditionalFormatting sqref="X87:Y87">
    <cfRule type="expression" dxfId="1942" priority="818">
      <formula>$AF87=4</formula>
    </cfRule>
    <cfRule type="expression" dxfId="1941" priority="819">
      <formula>$AF87=3</formula>
    </cfRule>
    <cfRule type="expression" dxfId="1940" priority="820">
      <formula>$AF87=2</formula>
    </cfRule>
    <cfRule type="expression" dxfId="1939" priority="821">
      <formula>$AF87=1</formula>
    </cfRule>
  </conditionalFormatting>
  <conditionalFormatting sqref="N87">
    <cfRule type="expression" dxfId="1938" priority="817">
      <formula>$AC87=2</formula>
    </cfRule>
  </conditionalFormatting>
  <conditionalFormatting sqref="N87">
    <cfRule type="expression" dxfId="1937" priority="816">
      <formula>N87&gt;F87</formula>
    </cfRule>
  </conditionalFormatting>
  <conditionalFormatting sqref="G87">
    <cfRule type="expression" dxfId="1936" priority="803">
      <formula>G87&gt;F87</formula>
    </cfRule>
  </conditionalFormatting>
  <conditionalFormatting sqref="J87:K87">
    <cfRule type="expression" dxfId="1935" priority="807">
      <formula>$AD87=4</formula>
    </cfRule>
    <cfRule type="expression" dxfId="1934" priority="808">
      <formula>$AD87=3</formula>
    </cfRule>
    <cfRule type="expression" dxfId="1933" priority="809">
      <formula>$AD87=2</formula>
    </cfRule>
    <cfRule type="expression" dxfId="1932" priority="810">
      <formula>$AD87=1</formula>
    </cfRule>
  </conditionalFormatting>
  <conditionalFormatting sqref="J87:K87">
    <cfRule type="expression" dxfId="1931" priority="806">
      <formula>$AC87=2</formula>
    </cfRule>
  </conditionalFormatting>
  <conditionalFormatting sqref="L87">
    <cfRule type="expression" dxfId="1930" priority="805">
      <formula>$AC87=2</formula>
    </cfRule>
  </conditionalFormatting>
  <conditionalFormatting sqref="G87">
    <cfRule type="expression" dxfId="1929" priority="804">
      <formula>$AC87=2</formula>
    </cfRule>
  </conditionalFormatting>
  <conditionalFormatting sqref="O87">
    <cfRule type="expression" dxfId="1928" priority="802">
      <formula>$AC87=2</formula>
    </cfRule>
  </conditionalFormatting>
  <conditionalFormatting sqref="V87">
    <cfRule type="expression" dxfId="1927" priority="801">
      <formula>$AC87=2</formula>
    </cfRule>
  </conditionalFormatting>
  <conditionalFormatting sqref="U87">
    <cfRule type="expression" dxfId="1926" priority="800">
      <formula>$AC87=2</formula>
    </cfRule>
  </conditionalFormatting>
  <conditionalFormatting sqref="U87">
    <cfRule type="expression" dxfId="1925" priority="799">
      <formula>U87&gt;F87</formula>
    </cfRule>
  </conditionalFormatting>
  <conditionalFormatting sqref="H87">
    <cfRule type="expression" dxfId="1924" priority="796">
      <formula>F87=0</formula>
    </cfRule>
  </conditionalFormatting>
  <conditionalFormatting sqref="I87">
    <cfRule type="expression" dxfId="1923" priority="795">
      <formula>F87=0</formula>
    </cfRule>
  </conditionalFormatting>
  <conditionalFormatting sqref="O87">
    <cfRule type="expression" dxfId="1922" priority="794">
      <formula>F87=0</formula>
    </cfRule>
  </conditionalFormatting>
  <conditionalFormatting sqref="V87">
    <cfRule type="expression" dxfId="1921" priority="793">
      <formula>F87=0</formula>
    </cfRule>
  </conditionalFormatting>
  <conditionalFormatting sqref="AZ101">
    <cfRule type="expression" dxfId="1920" priority="792">
      <formula>$AC101=2</formula>
    </cfRule>
  </conditionalFormatting>
  <conditionalFormatting sqref="AB101">
    <cfRule type="expression" dxfId="1919" priority="790">
      <formula>$AJ$4="Nei"</formula>
    </cfRule>
    <cfRule type="expression" dxfId="1918" priority="791">
      <formula>$AC101=2</formula>
    </cfRule>
  </conditionalFormatting>
  <conditionalFormatting sqref="Q101:R101">
    <cfRule type="expression" dxfId="1917" priority="786">
      <formula>$AE101=4</formula>
    </cfRule>
    <cfRule type="expression" dxfId="1916" priority="787">
      <formula>$AE101=3</formula>
    </cfRule>
    <cfRule type="expression" dxfId="1915" priority="788">
      <formula>$AE101=2</formula>
    </cfRule>
    <cfRule type="expression" dxfId="1914" priority="789">
      <formula>$AE101=1</formula>
    </cfRule>
  </conditionalFormatting>
  <conditionalFormatting sqref="X101:Y101">
    <cfRule type="expression" dxfId="1913" priority="782">
      <formula>$AF101=4</formula>
    </cfRule>
    <cfRule type="expression" dxfId="1912" priority="783">
      <formula>$AF101=3</formula>
    </cfRule>
    <cfRule type="expression" dxfId="1911" priority="784">
      <formula>$AF101=2</formula>
    </cfRule>
    <cfRule type="expression" dxfId="1910" priority="785">
      <formula>$AF101=1</formula>
    </cfRule>
  </conditionalFormatting>
  <conditionalFormatting sqref="X101:Y101">
    <cfRule type="expression" dxfId="1909" priority="781">
      <formula>$AC101=2</formula>
    </cfRule>
  </conditionalFormatting>
  <conditionalFormatting sqref="J101:K101">
    <cfRule type="expression" dxfId="1908" priority="772">
      <formula>$AD101=4</formula>
    </cfRule>
    <cfRule type="expression" dxfId="1907" priority="773">
      <formula>$AD101=3</formula>
    </cfRule>
    <cfRule type="expression" dxfId="1906" priority="774">
      <formula>$AD101=2</formula>
    </cfRule>
    <cfRule type="expression" dxfId="1905" priority="775">
      <formula>$AD101=1</formula>
    </cfRule>
  </conditionalFormatting>
  <conditionalFormatting sqref="J101:K101">
    <cfRule type="expression" dxfId="1904" priority="771">
      <formula>$AC101=2</formula>
    </cfRule>
  </conditionalFormatting>
  <conditionalFormatting sqref="L101">
    <cfRule type="expression" dxfId="1903" priority="770">
      <formula>$AC101=2</formula>
    </cfRule>
  </conditionalFormatting>
  <conditionalFormatting sqref="O101">
    <cfRule type="expression" dxfId="1902" priority="769">
      <formula>$AC101=2</formula>
    </cfRule>
  </conditionalFormatting>
  <conditionalFormatting sqref="V101">
    <cfRule type="expression" dxfId="1901" priority="768">
      <formula>$AC101=2</formula>
    </cfRule>
  </conditionalFormatting>
  <conditionalFormatting sqref="G101">
    <cfRule type="expression" dxfId="1900" priority="767">
      <formula>$AC101=2</formula>
    </cfRule>
  </conditionalFormatting>
  <conditionalFormatting sqref="G101">
    <cfRule type="expression" dxfId="1899" priority="766">
      <formula>G101&gt;F101</formula>
    </cfRule>
  </conditionalFormatting>
  <conditionalFormatting sqref="N101">
    <cfRule type="expression" dxfId="1898" priority="765">
      <formula>$AC101=2</formula>
    </cfRule>
  </conditionalFormatting>
  <conditionalFormatting sqref="N101">
    <cfRule type="expression" dxfId="1897" priority="764">
      <formula>N101&gt;F101</formula>
    </cfRule>
  </conditionalFormatting>
  <conditionalFormatting sqref="U101">
    <cfRule type="expression" dxfId="1896" priority="761">
      <formula>$AC101=2</formula>
    </cfRule>
  </conditionalFormatting>
  <conditionalFormatting sqref="U101">
    <cfRule type="expression" dxfId="1895" priority="760">
      <formula>U101&gt;F101</formula>
    </cfRule>
  </conditionalFormatting>
  <conditionalFormatting sqref="H101">
    <cfRule type="expression" dxfId="1894" priority="757">
      <formula>F101=0</formula>
    </cfRule>
  </conditionalFormatting>
  <conditionalFormatting sqref="I101">
    <cfRule type="expression" dxfId="1893" priority="756">
      <formula>F101=0</formula>
    </cfRule>
  </conditionalFormatting>
  <conditionalFormatting sqref="O101">
    <cfRule type="expression" dxfId="1892" priority="755">
      <formula>F101=0</formula>
    </cfRule>
  </conditionalFormatting>
  <conditionalFormatting sqref="V101">
    <cfRule type="expression" dxfId="1891" priority="754">
      <formula>F101=0</formula>
    </cfRule>
  </conditionalFormatting>
  <conditionalFormatting sqref="X16:Y16">
    <cfRule type="expression" dxfId="1890" priority="750">
      <formula>$AF16=4</formula>
    </cfRule>
    <cfRule type="expression" dxfId="1889" priority="751">
      <formula>$AF16=3</formula>
    </cfRule>
    <cfRule type="expression" dxfId="1888" priority="752">
      <formula>$AF16=2</formula>
    </cfRule>
    <cfRule type="expression" dxfId="1887" priority="753">
      <formula>$AF16=1</formula>
    </cfRule>
  </conditionalFormatting>
  <conditionalFormatting sqref="X16:Y16">
    <cfRule type="expression" dxfId="1886" priority="749">
      <formula>$AC16=2</formula>
    </cfRule>
  </conditionalFormatting>
  <conditionalFormatting sqref="V16">
    <cfRule type="expression" dxfId="1885" priority="746">
      <formula>$AC16=2</formula>
    </cfRule>
  </conditionalFormatting>
  <conditionalFormatting sqref="U16">
    <cfRule type="expression" dxfId="1884" priority="745">
      <formula>$AC16=2</formula>
    </cfRule>
  </conditionalFormatting>
  <conditionalFormatting sqref="U16">
    <cfRule type="expression" dxfId="1883" priority="744">
      <formula>U16&gt;F16</formula>
    </cfRule>
  </conditionalFormatting>
  <conditionalFormatting sqref="V16">
    <cfRule type="expression" dxfId="1882" priority="741">
      <formula>F16=0</formula>
    </cfRule>
  </conditionalFormatting>
  <conditionalFormatting sqref="L175">
    <cfRule type="expression" dxfId="1881" priority="739">
      <formula>$AC175=2</formula>
    </cfRule>
  </conditionalFormatting>
  <conditionalFormatting sqref="L179">
    <cfRule type="expression" dxfId="1880" priority="732">
      <formula>$AC179=2</formula>
    </cfRule>
  </conditionalFormatting>
  <conditionalFormatting sqref="J135:J138">
    <cfRule type="expression" dxfId="1879" priority="726">
      <formula>$AD135=4</formula>
    </cfRule>
    <cfRule type="expression" dxfId="1878" priority="727">
      <formula>$AD135=3</formula>
    </cfRule>
    <cfRule type="expression" dxfId="1877" priority="728">
      <formula>$AD135=2</formula>
    </cfRule>
    <cfRule type="expression" dxfId="1876" priority="729">
      <formula>$AD135=1</formula>
    </cfRule>
  </conditionalFormatting>
  <conditionalFormatting sqref="J135:J138">
    <cfRule type="expression" dxfId="1875" priority="725">
      <formula>$AC135=2</formula>
    </cfRule>
  </conditionalFormatting>
  <conditionalFormatting sqref="L15">
    <cfRule type="expression" dxfId="1874" priority="724">
      <formula>$AC15=2</formula>
    </cfRule>
  </conditionalFormatting>
  <conditionalFormatting sqref="P37:P38">
    <cfRule type="expression" dxfId="1873" priority="713">
      <formula>$AE37=4</formula>
    </cfRule>
    <cfRule type="expression" dxfId="1872" priority="714">
      <formula>$AE37=3</formula>
    </cfRule>
    <cfRule type="expression" dxfId="1871" priority="715">
      <formula>$AE37=2</formula>
    </cfRule>
    <cfRule type="expression" dxfId="1870" priority="716">
      <formula>$AE37=1</formula>
    </cfRule>
  </conditionalFormatting>
  <conditionalFormatting sqref="P37:P38">
    <cfRule type="expression" dxfId="1869" priority="712">
      <formula>$AC37=2</formula>
    </cfRule>
  </conditionalFormatting>
  <conditionalFormatting sqref="P65:P66">
    <cfRule type="expression" dxfId="1868" priority="706">
      <formula>$AE65=4</formula>
    </cfRule>
    <cfRule type="expression" dxfId="1867" priority="707">
      <formula>$AE65=3</formula>
    </cfRule>
    <cfRule type="expression" dxfId="1866" priority="708">
      <formula>$AE65=2</formula>
    </cfRule>
    <cfRule type="expression" dxfId="1865" priority="709">
      <formula>$AE65=1</formula>
    </cfRule>
  </conditionalFormatting>
  <conditionalFormatting sqref="P65:P66">
    <cfRule type="expression" dxfId="1864" priority="705">
      <formula>$AC65=2</formula>
    </cfRule>
  </conditionalFormatting>
  <conditionalFormatting sqref="P95:P96">
    <cfRule type="expression" dxfId="1863" priority="699">
      <formula>$AE95=4</formula>
    </cfRule>
    <cfRule type="expression" dxfId="1862" priority="700">
      <formula>$AE95=3</formula>
    </cfRule>
    <cfRule type="expression" dxfId="1861" priority="701">
      <formula>$AE95=2</formula>
    </cfRule>
    <cfRule type="expression" dxfId="1860" priority="702">
      <formula>$AE95=1</formula>
    </cfRule>
  </conditionalFormatting>
  <conditionalFormatting sqref="P95:P96">
    <cfRule type="expression" dxfId="1859" priority="698">
      <formula>$AC95=2</formula>
    </cfRule>
  </conditionalFormatting>
  <conditionalFormatting sqref="P104:P105">
    <cfRule type="expression" dxfId="1858" priority="692">
      <formula>$AE104=4</formula>
    </cfRule>
    <cfRule type="expression" dxfId="1857" priority="693">
      <formula>$AE104=3</formula>
    </cfRule>
    <cfRule type="expression" dxfId="1856" priority="694">
      <formula>$AE104=2</formula>
    </cfRule>
    <cfRule type="expression" dxfId="1855" priority="695">
      <formula>$AE104=1</formula>
    </cfRule>
  </conditionalFormatting>
  <conditionalFormatting sqref="P104:P105">
    <cfRule type="expression" dxfId="1854" priority="691">
      <formula>$AC104=2</formula>
    </cfRule>
  </conditionalFormatting>
  <conditionalFormatting sqref="P118:P119">
    <cfRule type="expression" dxfId="1853" priority="685">
      <formula>$AE118=4</formula>
    </cfRule>
    <cfRule type="expression" dxfId="1852" priority="686">
      <formula>$AE118=3</formula>
    </cfRule>
    <cfRule type="expression" dxfId="1851" priority="687">
      <formula>$AE118=2</formula>
    </cfRule>
    <cfRule type="expression" dxfId="1850" priority="688">
      <formula>$AE118=1</formula>
    </cfRule>
  </conditionalFormatting>
  <conditionalFormatting sqref="P118:P119">
    <cfRule type="expression" dxfId="1849" priority="684">
      <formula>$AC118=2</formula>
    </cfRule>
  </conditionalFormatting>
  <conditionalFormatting sqref="P148:P149">
    <cfRule type="expression" dxfId="1848" priority="678">
      <formula>$AE148=4</formula>
    </cfRule>
    <cfRule type="expression" dxfId="1847" priority="679">
      <formula>$AE148=3</formula>
    </cfRule>
    <cfRule type="expression" dxfId="1846" priority="680">
      <formula>$AE148=2</formula>
    </cfRule>
    <cfRule type="expression" dxfId="1845" priority="681">
      <formula>$AE148=1</formula>
    </cfRule>
  </conditionalFormatting>
  <conditionalFormatting sqref="P148:P149">
    <cfRule type="expression" dxfId="1844" priority="677">
      <formula>$AC148=2</formula>
    </cfRule>
  </conditionalFormatting>
  <conditionalFormatting sqref="P163:P164">
    <cfRule type="expression" dxfId="1843" priority="671">
      <formula>$AE163=4</formula>
    </cfRule>
    <cfRule type="expression" dxfId="1842" priority="672">
      <formula>$AE163=3</formula>
    </cfRule>
    <cfRule type="expression" dxfId="1841" priority="673">
      <formula>$AE163=2</formula>
    </cfRule>
    <cfRule type="expression" dxfId="1840" priority="674">
      <formula>$AE163=1</formula>
    </cfRule>
  </conditionalFormatting>
  <conditionalFormatting sqref="P163:P164">
    <cfRule type="expression" dxfId="1839" priority="670">
      <formula>$AC163=2</formula>
    </cfRule>
  </conditionalFormatting>
  <conditionalFormatting sqref="P195:P196">
    <cfRule type="expression" dxfId="1838" priority="664">
      <formula>$AE195=4</formula>
    </cfRule>
    <cfRule type="expression" dxfId="1837" priority="665">
      <formula>$AE195=3</formula>
    </cfRule>
    <cfRule type="expression" dxfId="1836" priority="666">
      <formula>$AE195=2</formula>
    </cfRule>
    <cfRule type="expression" dxfId="1835" priority="667">
      <formula>$AE195=1</formula>
    </cfRule>
  </conditionalFormatting>
  <conditionalFormatting sqref="P195:P196">
    <cfRule type="expression" dxfId="1834" priority="663">
      <formula>$AC195=2</formula>
    </cfRule>
  </conditionalFormatting>
  <conditionalFormatting sqref="P212:P213">
    <cfRule type="expression" dxfId="1833" priority="657">
      <formula>$AE212=4</formula>
    </cfRule>
    <cfRule type="expression" dxfId="1832" priority="658">
      <formula>$AE212=3</formula>
    </cfRule>
    <cfRule type="expression" dxfId="1831" priority="659">
      <formula>$AE212=2</formula>
    </cfRule>
    <cfRule type="expression" dxfId="1830" priority="660">
      <formula>$AE212=1</formula>
    </cfRule>
  </conditionalFormatting>
  <conditionalFormatting sqref="P212:P213">
    <cfRule type="expression" dxfId="1829" priority="656">
      <formula>$AC212=2</formula>
    </cfRule>
  </conditionalFormatting>
  <conditionalFormatting sqref="W37:W38">
    <cfRule type="expression" dxfId="1828" priority="628">
      <formula>$AE37=4</formula>
    </cfRule>
    <cfRule type="expression" dxfId="1827" priority="629">
      <formula>$AE37=3</formula>
    </cfRule>
    <cfRule type="expression" dxfId="1826" priority="630">
      <formula>$AE37=2</formula>
    </cfRule>
    <cfRule type="expression" dxfId="1825" priority="631">
      <formula>$AE37=1</formula>
    </cfRule>
  </conditionalFormatting>
  <conditionalFormatting sqref="W37:W38">
    <cfRule type="expression" dxfId="1824" priority="627">
      <formula>$AC37=2</formula>
    </cfRule>
  </conditionalFormatting>
  <conditionalFormatting sqref="W65:W66">
    <cfRule type="expression" dxfId="1823" priority="621">
      <formula>$AE65=4</formula>
    </cfRule>
    <cfRule type="expression" dxfId="1822" priority="622">
      <formula>$AE65=3</formula>
    </cfRule>
    <cfRule type="expression" dxfId="1821" priority="623">
      <formula>$AE65=2</formula>
    </cfRule>
    <cfRule type="expression" dxfId="1820" priority="624">
      <formula>$AE65=1</formula>
    </cfRule>
  </conditionalFormatting>
  <conditionalFormatting sqref="W65:W66">
    <cfRule type="expression" dxfId="1819" priority="620">
      <formula>$AC65=2</formula>
    </cfRule>
  </conditionalFormatting>
  <conditionalFormatting sqref="W95:W96">
    <cfRule type="expression" dxfId="1818" priority="614">
      <formula>$AE95=4</formula>
    </cfRule>
    <cfRule type="expression" dxfId="1817" priority="615">
      <formula>$AE95=3</formula>
    </cfRule>
    <cfRule type="expression" dxfId="1816" priority="616">
      <formula>$AE95=2</formula>
    </cfRule>
    <cfRule type="expression" dxfId="1815" priority="617">
      <formula>$AE95=1</formula>
    </cfRule>
  </conditionalFormatting>
  <conditionalFormatting sqref="W95:W96">
    <cfRule type="expression" dxfId="1814" priority="613">
      <formula>$AC95=2</formula>
    </cfRule>
  </conditionalFormatting>
  <conditionalFormatting sqref="W104:W105">
    <cfRule type="expression" dxfId="1813" priority="607">
      <formula>$AE104=4</formula>
    </cfRule>
    <cfRule type="expression" dxfId="1812" priority="608">
      <formula>$AE104=3</formula>
    </cfRule>
    <cfRule type="expression" dxfId="1811" priority="609">
      <formula>$AE104=2</formula>
    </cfRule>
    <cfRule type="expression" dxfId="1810" priority="610">
      <formula>$AE104=1</formula>
    </cfRule>
  </conditionalFormatting>
  <conditionalFormatting sqref="W104:W105">
    <cfRule type="expression" dxfId="1809" priority="606">
      <formula>$AC104=2</formula>
    </cfRule>
  </conditionalFormatting>
  <conditionalFormatting sqref="W118:W119">
    <cfRule type="expression" dxfId="1808" priority="600">
      <formula>$AE118=4</formula>
    </cfRule>
    <cfRule type="expression" dxfId="1807" priority="601">
      <formula>$AE118=3</formula>
    </cfRule>
    <cfRule type="expression" dxfId="1806" priority="602">
      <formula>$AE118=2</formula>
    </cfRule>
    <cfRule type="expression" dxfId="1805" priority="603">
      <formula>$AE118=1</formula>
    </cfRule>
  </conditionalFormatting>
  <conditionalFormatting sqref="W118:W119">
    <cfRule type="expression" dxfId="1804" priority="599">
      <formula>$AC118=2</formula>
    </cfRule>
  </conditionalFormatting>
  <conditionalFormatting sqref="W148:W149">
    <cfRule type="expression" dxfId="1803" priority="593">
      <formula>$AE148=4</formula>
    </cfRule>
    <cfRule type="expression" dxfId="1802" priority="594">
      <formula>$AE148=3</formula>
    </cfRule>
    <cfRule type="expression" dxfId="1801" priority="595">
      <formula>$AE148=2</formula>
    </cfRule>
    <cfRule type="expression" dxfId="1800" priority="596">
      <formula>$AE148=1</formula>
    </cfRule>
  </conditionalFormatting>
  <conditionalFormatting sqref="W148:W149">
    <cfRule type="expression" dxfId="1799" priority="592">
      <formula>$AC148=2</formula>
    </cfRule>
  </conditionalFormatting>
  <conditionalFormatting sqref="W163:W164">
    <cfRule type="expression" dxfId="1798" priority="586">
      <formula>$AE163=4</formula>
    </cfRule>
    <cfRule type="expression" dxfId="1797" priority="587">
      <formula>$AE163=3</formula>
    </cfRule>
    <cfRule type="expression" dxfId="1796" priority="588">
      <formula>$AE163=2</formula>
    </cfRule>
    <cfRule type="expression" dxfId="1795" priority="589">
      <formula>$AE163=1</formula>
    </cfRule>
  </conditionalFormatting>
  <conditionalFormatting sqref="W163:W164">
    <cfRule type="expression" dxfId="1794" priority="585">
      <formula>$AC163=2</formula>
    </cfRule>
  </conditionalFormatting>
  <conditionalFormatting sqref="W195:W196">
    <cfRule type="expression" dxfId="1793" priority="579">
      <formula>$AE195=4</formula>
    </cfRule>
    <cfRule type="expression" dxfId="1792" priority="580">
      <formula>$AE195=3</formula>
    </cfRule>
    <cfRule type="expression" dxfId="1791" priority="581">
      <formula>$AE195=2</formula>
    </cfRule>
    <cfRule type="expression" dxfId="1790" priority="582">
      <formula>$AE195=1</formula>
    </cfRule>
  </conditionalFormatting>
  <conditionalFormatting sqref="W195:W196">
    <cfRule type="expression" dxfId="1789" priority="578">
      <formula>$AC195=2</formula>
    </cfRule>
  </conditionalFormatting>
  <conditionalFormatting sqref="W212:W213">
    <cfRule type="expression" dxfId="1788" priority="572">
      <formula>$AE212=4</formula>
    </cfRule>
    <cfRule type="expression" dxfId="1787" priority="573">
      <formula>$AE212=3</formula>
    </cfRule>
    <cfRule type="expression" dxfId="1786" priority="574">
      <formula>$AE212=2</formula>
    </cfRule>
    <cfRule type="expression" dxfId="1785" priority="575">
      <formula>$AE212=1</formula>
    </cfRule>
  </conditionalFormatting>
  <conditionalFormatting sqref="W212:W213">
    <cfRule type="expression" dxfId="1784" priority="571">
      <formula>$AC212=2</formula>
    </cfRule>
  </conditionalFormatting>
  <conditionalFormatting sqref="S104:S105 S32 S21 S28 S148:S149 S36:S38 S65:S66 S95:S96 S118:S119 S163:S164 S195:S196 S198 S212:S215 S45:S46 S88 Z198 Z194:Z196 Z162:Z164 Z117:Z119 Z94:Z96 Z64:Z66 Z32 Z103:Z105 Z36:Z38 Z28 Z18:Z21 Z86">
    <cfRule type="expression" dxfId="1783" priority="546">
      <formula>$AA18=2</formula>
    </cfRule>
  </conditionalFormatting>
  <conditionalFormatting sqref="S13:S14">
    <cfRule type="expression" dxfId="1782" priority="541">
      <formula>$AA13=2</formula>
    </cfRule>
  </conditionalFormatting>
  <conditionalFormatting sqref="S17">
    <cfRule type="expression" dxfId="1781" priority="544">
      <formula>$AA17=2</formula>
    </cfRule>
  </conditionalFormatting>
  <conditionalFormatting sqref="S18:S20">
    <cfRule type="expression" dxfId="1780" priority="545">
      <formula>$AA18=2</formula>
    </cfRule>
  </conditionalFormatting>
  <conditionalFormatting sqref="S16">
    <cfRule type="expression" dxfId="1779" priority="543">
      <formula>$AA16=2</formula>
    </cfRule>
  </conditionalFormatting>
  <conditionalFormatting sqref="S15">
    <cfRule type="expression" dxfId="1778" priority="542">
      <formula>$AA15=2</formula>
    </cfRule>
  </conditionalFormatting>
  <conditionalFormatting sqref="S12">
    <cfRule type="expression" dxfId="1777" priority="540">
      <formula>$AA12=2</formula>
    </cfRule>
  </conditionalFormatting>
  <conditionalFormatting sqref="S22">
    <cfRule type="expression" dxfId="1776" priority="539">
      <formula>$AA22=2</formula>
    </cfRule>
  </conditionalFormatting>
  <conditionalFormatting sqref="S23">
    <cfRule type="expression" dxfId="1775" priority="538">
      <formula>$AA23=2</formula>
    </cfRule>
  </conditionalFormatting>
  <conditionalFormatting sqref="S24">
    <cfRule type="expression" dxfId="1774" priority="537">
      <formula>$AA24=2</formula>
    </cfRule>
  </conditionalFormatting>
  <conditionalFormatting sqref="S25">
    <cfRule type="expression" dxfId="1773" priority="536">
      <formula>$AA25=2</formula>
    </cfRule>
  </conditionalFormatting>
  <conditionalFormatting sqref="S29">
    <cfRule type="expression" dxfId="1772" priority="535">
      <formula>$AA29=2</formula>
    </cfRule>
  </conditionalFormatting>
  <conditionalFormatting sqref="S30">
    <cfRule type="expression" dxfId="1771" priority="534">
      <formula>$AA30=2</formula>
    </cfRule>
  </conditionalFormatting>
  <conditionalFormatting sqref="S31">
    <cfRule type="expression" dxfId="1770" priority="533">
      <formula>$AA31=2</formula>
    </cfRule>
  </conditionalFormatting>
  <conditionalFormatting sqref="S33">
    <cfRule type="expression" dxfId="1769" priority="532">
      <formula>$AA33=2</formula>
    </cfRule>
  </conditionalFormatting>
  <conditionalFormatting sqref="S34">
    <cfRule type="expression" dxfId="1768" priority="531">
      <formula>$AA34=2</formula>
    </cfRule>
  </conditionalFormatting>
  <conditionalFormatting sqref="S35">
    <cfRule type="expression" dxfId="1767" priority="530">
      <formula>$AA35=2</formula>
    </cfRule>
  </conditionalFormatting>
  <conditionalFormatting sqref="S39:S41">
    <cfRule type="expression" dxfId="1766" priority="529">
      <formula>$AA39=2</formula>
    </cfRule>
  </conditionalFormatting>
  <conditionalFormatting sqref="S67">
    <cfRule type="expression" dxfId="1765" priority="528">
      <formula>$AA67=2</formula>
    </cfRule>
  </conditionalFormatting>
  <conditionalFormatting sqref="S97">
    <cfRule type="expression" dxfId="1764" priority="527">
      <formula>$AA97=2</formula>
    </cfRule>
  </conditionalFormatting>
  <conditionalFormatting sqref="S106">
    <cfRule type="expression" dxfId="1763" priority="526">
      <formula>$AA106=2</formula>
    </cfRule>
  </conditionalFormatting>
  <conditionalFormatting sqref="S120">
    <cfRule type="expression" dxfId="1762" priority="525">
      <formula>$AA120=2</formula>
    </cfRule>
  </conditionalFormatting>
  <conditionalFormatting sqref="S150">
    <cfRule type="expression" dxfId="1761" priority="524">
      <formula>$AA150=2</formula>
    </cfRule>
  </conditionalFormatting>
  <conditionalFormatting sqref="S165">
    <cfRule type="expression" dxfId="1760" priority="523">
      <formula>$AA165=2</formula>
    </cfRule>
  </conditionalFormatting>
  <conditionalFormatting sqref="S197">
    <cfRule type="expression" dxfId="1759" priority="522">
      <formula>$AA197=2</formula>
    </cfRule>
  </conditionalFormatting>
  <conditionalFormatting sqref="S47">
    <cfRule type="expression" dxfId="1758" priority="521">
      <formula>$AA47=2</formula>
    </cfRule>
  </conditionalFormatting>
  <conditionalFormatting sqref="S52">
    <cfRule type="expression" dxfId="1757" priority="520">
      <formula>$AA52=2</formula>
    </cfRule>
  </conditionalFormatting>
  <conditionalFormatting sqref="S56">
    <cfRule type="expression" dxfId="1756" priority="519">
      <formula>$AA56=2</formula>
    </cfRule>
  </conditionalFormatting>
  <conditionalFormatting sqref="S59">
    <cfRule type="expression" dxfId="1755" priority="518">
      <formula>$AA59=2</formula>
    </cfRule>
  </conditionalFormatting>
  <conditionalFormatting sqref="S62">
    <cfRule type="expression" dxfId="1754" priority="517">
      <formula>$AA62=2</formula>
    </cfRule>
  </conditionalFormatting>
  <conditionalFormatting sqref="S75">
    <cfRule type="expression" dxfId="1753" priority="516">
      <formula>$AA75=2</formula>
    </cfRule>
  </conditionalFormatting>
  <conditionalFormatting sqref="S79">
    <cfRule type="expression" dxfId="1752" priority="515">
      <formula>$AA79=2</formula>
    </cfRule>
  </conditionalFormatting>
  <conditionalFormatting sqref="S82">
    <cfRule type="expression" dxfId="1751" priority="514">
      <formula>$AA82=2</formula>
    </cfRule>
  </conditionalFormatting>
  <conditionalFormatting sqref="S85">
    <cfRule type="expression" dxfId="1750" priority="513">
      <formula>$AA85=2</formula>
    </cfRule>
  </conditionalFormatting>
  <conditionalFormatting sqref="S89">
    <cfRule type="expression" dxfId="1749" priority="512">
      <formula>$AA89=2</formula>
    </cfRule>
  </conditionalFormatting>
  <conditionalFormatting sqref="S92">
    <cfRule type="expression" dxfId="1748" priority="511">
      <formula>$AA92=2</formula>
    </cfRule>
  </conditionalFormatting>
  <conditionalFormatting sqref="S100">
    <cfRule type="expression" dxfId="1747" priority="510">
      <formula>$AA100=2</formula>
    </cfRule>
  </conditionalFormatting>
  <conditionalFormatting sqref="S109">
    <cfRule type="expression" dxfId="1746" priority="509">
      <formula>$AA109=2</formula>
    </cfRule>
  </conditionalFormatting>
  <conditionalFormatting sqref="S111">
    <cfRule type="expression" dxfId="1745" priority="508">
      <formula>$AA111=2</formula>
    </cfRule>
  </conditionalFormatting>
  <conditionalFormatting sqref="S115">
    <cfRule type="expression" dxfId="1744" priority="507">
      <formula>$AA115=2</formula>
    </cfRule>
  </conditionalFormatting>
  <conditionalFormatting sqref="S124">
    <cfRule type="expression" dxfId="1743" priority="506">
      <formula>$AA124=2</formula>
    </cfRule>
  </conditionalFormatting>
  <conditionalFormatting sqref="S128">
    <cfRule type="expression" dxfId="1742" priority="505">
      <formula>$AA128=2</formula>
    </cfRule>
  </conditionalFormatting>
  <conditionalFormatting sqref="S132">
    <cfRule type="expression" dxfId="1741" priority="504">
      <formula>$AA132=2</formula>
    </cfRule>
  </conditionalFormatting>
  <conditionalFormatting sqref="S138">
    <cfRule type="expression" dxfId="1740" priority="503">
      <formula>$AA138=2</formula>
    </cfRule>
  </conditionalFormatting>
  <conditionalFormatting sqref="S143">
    <cfRule type="expression" dxfId="1739" priority="502">
      <formula>$AA143=2</formula>
    </cfRule>
  </conditionalFormatting>
  <conditionalFormatting sqref="S156">
    <cfRule type="expression" dxfId="1738" priority="501">
      <formula>$AA156=2</formula>
    </cfRule>
  </conditionalFormatting>
  <conditionalFormatting sqref="S158">
    <cfRule type="expression" dxfId="1737" priority="500">
      <formula>$AA158=2</formula>
    </cfRule>
  </conditionalFormatting>
  <conditionalFormatting sqref="S160">
    <cfRule type="expression" dxfId="1736" priority="499">
      <formula>$AA160=2</formula>
    </cfRule>
  </conditionalFormatting>
  <conditionalFormatting sqref="S168">
    <cfRule type="expression" dxfId="1735" priority="498">
      <formula>$AA168=2</formula>
    </cfRule>
  </conditionalFormatting>
  <conditionalFormatting sqref="S172:S173">
    <cfRule type="expression" dxfId="1734" priority="497">
      <formula>$AA172=2</formula>
    </cfRule>
  </conditionalFormatting>
  <conditionalFormatting sqref="S180">
    <cfRule type="expression" dxfId="1733" priority="496">
      <formula>$AA180=2</formula>
    </cfRule>
  </conditionalFormatting>
  <conditionalFormatting sqref="S184">
    <cfRule type="expression" dxfId="1732" priority="495">
      <formula>$AA184=2</formula>
    </cfRule>
  </conditionalFormatting>
  <conditionalFormatting sqref="S186">
    <cfRule type="expression" dxfId="1731" priority="494">
      <formula>$AA186=2</formula>
    </cfRule>
  </conditionalFormatting>
  <conditionalFormatting sqref="S189">
    <cfRule type="expression" dxfId="1730" priority="493">
      <formula>$AA189=2</formula>
    </cfRule>
  </conditionalFormatting>
  <conditionalFormatting sqref="S202">
    <cfRule type="expression" dxfId="1729" priority="492">
      <formula>$AA202=2</formula>
    </cfRule>
  </conditionalFormatting>
  <conditionalFormatting sqref="S205">
    <cfRule type="expression" dxfId="1728" priority="491">
      <formula>$AA205=2</formula>
    </cfRule>
  </conditionalFormatting>
  <conditionalFormatting sqref="S208">
    <cfRule type="expression" dxfId="1727" priority="490">
      <formula>$AA208=2</formula>
    </cfRule>
  </conditionalFormatting>
  <conditionalFormatting sqref="S42:S43">
    <cfRule type="expression" dxfId="1726" priority="489">
      <formula>$AA42=2</formula>
    </cfRule>
  </conditionalFormatting>
  <conditionalFormatting sqref="S48:S51">
    <cfRule type="expression" dxfId="1725" priority="488">
      <formula>$AA48=2</formula>
    </cfRule>
  </conditionalFormatting>
  <conditionalFormatting sqref="S53:S55">
    <cfRule type="expression" dxfId="1724" priority="487">
      <formula>$AA53=2</formula>
    </cfRule>
  </conditionalFormatting>
  <conditionalFormatting sqref="S57">
    <cfRule type="expression" dxfId="1723" priority="486">
      <formula>$AA57=2</formula>
    </cfRule>
  </conditionalFormatting>
  <conditionalFormatting sqref="S60:S61">
    <cfRule type="expression" dxfId="1722" priority="485">
      <formula>$AA60=2</formula>
    </cfRule>
  </conditionalFormatting>
  <conditionalFormatting sqref="S63">
    <cfRule type="expression" dxfId="1721" priority="484">
      <formula>$AA63=2</formula>
    </cfRule>
  </conditionalFormatting>
  <conditionalFormatting sqref="S68:S74">
    <cfRule type="expression" dxfId="1720" priority="483">
      <formula>$AA68=2</formula>
    </cfRule>
  </conditionalFormatting>
  <conditionalFormatting sqref="S76:S78">
    <cfRule type="expression" dxfId="1719" priority="482">
      <formula>$AA76=2</formula>
    </cfRule>
  </conditionalFormatting>
  <conditionalFormatting sqref="S80:S81">
    <cfRule type="expression" dxfId="1718" priority="481">
      <formula>$AA80=2</formula>
    </cfRule>
  </conditionalFormatting>
  <conditionalFormatting sqref="S83:S84">
    <cfRule type="expression" dxfId="1717" priority="480">
      <formula>$AA83=2</formula>
    </cfRule>
  </conditionalFormatting>
  <conditionalFormatting sqref="S86">
    <cfRule type="expression" dxfId="1716" priority="479">
      <formula>$AA86=2</formula>
    </cfRule>
  </conditionalFormatting>
  <conditionalFormatting sqref="S90:S91">
    <cfRule type="expression" dxfId="1715" priority="478">
      <formula>$AA90=2</formula>
    </cfRule>
  </conditionalFormatting>
  <conditionalFormatting sqref="S93">
    <cfRule type="expression" dxfId="1714" priority="477">
      <formula>$AA93=2</formula>
    </cfRule>
  </conditionalFormatting>
  <conditionalFormatting sqref="S98:S99">
    <cfRule type="expression" dxfId="1713" priority="476">
      <formula>$AA98=2</formula>
    </cfRule>
  </conditionalFormatting>
  <conditionalFormatting sqref="S102">
    <cfRule type="expression" dxfId="1712" priority="475">
      <formula>$AA102=2</formula>
    </cfRule>
  </conditionalFormatting>
  <conditionalFormatting sqref="S108">
    <cfRule type="expression" dxfId="1711" priority="474">
      <formula>$AA108=2</formula>
    </cfRule>
  </conditionalFormatting>
  <conditionalFormatting sqref="S110">
    <cfRule type="expression" dxfId="1710" priority="473">
      <formula>$AA110=2</formula>
    </cfRule>
  </conditionalFormatting>
  <conditionalFormatting sqref="S112:S114">
    <cfRule type="expression" dxfId="1709" priority="472">
      <formula>$AA112=2</formula>
    </cfRule>
  </conditionalFormatting>
  <conditionalFormatting sqref="S116">
    <cfRule type="expression" dxfId="1708" priority="471">
      <formula>$AA116=2</formula>
    </cfRule>
  </conditionalFormatting>
  <conditionalFormatting sqref="S121:S122">
    <cfRule type="expression" dxfId="1707" priority="470">
      <formula>$AA121=2</formula>
    </cfRule>
  </conditionalFormatting>
  <conditionalFormatting sqref="S123">
    <cfRule type="expression" dxfId="1706" priority="469">
      <formula>$AA123=2</formula>
    </cfRule>
  </conditionalFormatting>
  <conditionalFormatting sqref="S125:S126">
    <cfRule type="expression" dxfId="1705" priority="468">
      <formula>$AA125=2</formula>
    </cfRule>
  </conditionalFormatting>
  <conditionalFormatting sqref="S129:S131">
    <cfRule type="expression" dxfId="1704" priority="467">
      <formula>$AA129=2</formula>
    </cfRule>
  </conditionalFormatting>
  <conditionalFormatting sqref="S133:S136">
    <cfRule type="expression" dxfId="1703" priority="466">
      <formula>$AA133=2</formula>
    </cfRule>
  </conditionalFormatting>
  <conditionalFormatting sqref="S140:S142">
    <cfRule type="expression" dxfId="1702" priority="465">
      <formula>$AA140=2</formula>
    </cfRule>
  </conditionalFormatting>
  <conditionalFormatting sqref="S144:S146">
    <cfRule type="expression" dxfId="1701" priority="464">
      <formula>$AA144=2</formula>
    </cfRule>
  </conditionalFormatting>
  <conditionalFormatting sqref="S152:S155">
    <cfRule type="expression" dxfId="1700" priority="463">
      <formula>$AA152=2</formula>
    </cfRule>
  </conditionalFormatting>
  <conditionalFormatting sqref="S157">
    <cfRule type="expression" dxfId="1699" priority="462">
      <formula>$AA157=2</formula>
    </cfRule>
  </conditionalFormatting>
  <conditionalFormatting sqref="S161">
    <cfRule type="expression" dxfId="1698" priority="461">
      <formula>$AA161=2</formula>
    </cfRule>
  </conditionalFormatting>
  <conditionalFormatting sqref="S166:S167">
    <cfRule type="expression" dxfId="1697" priority="460">
      <formula>$AA166=2</formula>
    </cfRule>
  </conditionalFormatting>
  <conditionalFormatting sqref="S169:S171">
    <cfRule type="expression" dxfId="1696" priority="459">
      <formula>$AA169=2</formula>
    </cfRule>
  </conditionalFormatting>
  <conditionalFormatting sqref="S177:S179">
    <cfRule type="expression" dxfId="1695" priority="458">
      <formula>$AA177=2</formula>
    </cfRule>
  </conditionalFormatting>
  <conditionalFormatting sqref="S181:S183">
    <cfRule type="expression" dxfId="1694" priority="457">
      <formula>$AA181=2</formula>
    </cfRule>
  </conditionalFormatting>
  <conditionalFormatting sqref="S185">
    <cfRule type="expression" dxfId="1693" priority="456">
      <formula>$AA185=2</formula>
    </cfRule>
  </conditionalFormatting>
  <conditionalFormatting sqref="S187:S188">
    <cfRule type="expression" dxfId="1692" priority="455">
      <formula>$AA187=2</formula>
    </cfRule>
  </conditionalFormatting>
  <conditionalFormatting sqref="S190:S193">
    <cfRule type="expression" dxfId="1691" priority="454">
      <formula>$AA190=2</formula>
    </cfRule>
  </conditionalFormatting>
  <conditionalFormatting sqref="S203:S204">
    <cfRule type="expression" dxfId="1690" priority="453">
      <formula>$AA203=2</formula>
    </cfRule>
  </conditionalFormatting>
  <conditionalFormatting sqref="S206:S207">
    <cfRule type="expression" dxfId="1689" priority="452">
      <formula>$AA206=2</formula>
    </cfRule>
  </conditionalFormatting>
  <conditionalFormatting sqref="S209:S210">
    <cfRule type="expression" dxfId="1688" priority="451">
      <formula>$AA209=2</formula>
    </cfRule>
  </conditionalFormatting>
  <conditionalFormatting sqref="S201">
    <cfRule type="expression" dxfId="1687" priority="450">
      <formula>$AA201=2</formula>
    </cfRule>
  </conditionalFormatting>
  <conditionalFormatting sqref="S64">
    <cfRule type="expression" dxfId="1686" priority="449">
      <formula>$AA64=2</formula>
    </cfRule>
  </conditionalFormatting>
  <conditionalFormatting sqref="S94">
    <cfRule type="expression" dxfId="1685" priority="448">
      <formula>$AA94=2</formula>
    </cfRule>
  </conditionalFormatting>
  <conditionalFormatting sqref="S103">
    <cfRule type="expression" dxfId="1684" priority="447">
      <formula>$AA103=2</formula>
    </cfRule>
  </conditionalFormatting>
  <conditionalFormatting sqref="S117">
    <cfRule type="expression" dxfId="1683" priority="446">
      <formula>$AA117=2</formula>
    </cfRule>
  </conditionalFormatting>
  <conditionalFormatting sqref="S147">
    <cfRule type="expression" dxfId="1682" priority="445">
      <formula>$AA147=2</formula>
    </cfRule>
  </conditionalFormatting>
  <conditionalFormatting sqref="S162">
    <cfRule type="expression" dxfId="1681" priority="444">
      <formula>$AA162=2</formula>
    </cfRule>
  </conditionalFormatting>
  <conditionalFormatting sqref="S194">
    <cfRule type="expression" dxfId="1680" priority="443">
      <formula>$AA194=2</formula>
    </cfRule>
  </conditionalFormatting>
  <conditionalFormatting sqref="S211">
    <cfRule type="expression" dxfId="1679" priority="442">
      <formula>$AA211=2</formula>
    </cfRule>
  </conditionalFormatting>
  <conditionalFormatting sqref="S137">
    <cfRule type="expression" dxfId="1678" priority="441">
      <formula>$AA137=2</formula>
    </cfRule>
  </conditionalFormatting>
  <conditionalFormatting sqref="S200">
    <cfRule type="expression" dxfId="1677" priority="440">
      <formula>$AA200=2</formula>
    </cfRule>
  </conditionalFormatting>
  <conditionalFormatting sqref="S199">
    <cfRule type="expression" dxfId="1676" priority="439">
      <formula>$AA199=2</formula>
    </cfRule>
  </conditionalFormatting>
  <conditionalFormatting sqref="S26">
    <cfRule type="expression" dxfId="1675" priority="438">
      <formula>$AA26=2</formula>
    </cfRule>
  </conditionalFormatting>
  <conditionalFormatting sqref="S27">
    <cfRule type="expression" dxfId="1674" priority="437">
      <formula>$AA27=2</formula>
    </cfRule>
  </conditionalFormatting>
  <conditionalFormatting sqref="S87">
    <cfRule type="expression" dxfId="1673" priority="436">
      <formula>$AA87=2</formula>
    </cfRule>
  </conditionalFormatting>
  <conditionalFormatting sqref="S101">
    <cfRule type="expression" dxfId="1672" priority="435">
      <formula>$AA101=2</formula>
    </cfRule>
  </conditionalFormatting>
  <conditionalFormatting sqref="S159">
    <cfRule type="expression" dxfId="1671" priority="434">
      <formula>$AA159=2</formula>
    </cfRule>
  </conditionalFormatting>
  <conditionalFormatting sqref="S174:S175">
    <cfRule type="expression" dxfId="1670" priority="433">
      <formula>$AA174=2</formula>
    </cfRule>
  </conditionalFormatting>
  <conditionalFormatting sqref="S176">
    <cfRule type="expression" dxfId="1669" priority="432">
      <formula>$AA176=2</formula>
    </cfRule>
  </conditionalFormatting>
  <conditionalFormatting sqref="S175">
    <cfRule type="expression" dxfId="1668" priority="431">
      <formula>$AA175=2</formula>
    </cfRule>
  </conditionalFormatting>
  <conditionalFormatting sqref="S179">
    <cfRule type="expression" dxfId="1667" priority="430">
      <formula>$AA179=2</formula>
    </cfRule>
  </conditionalFormatting>
  <conditionalFormatting sqref="S58">
    <cfRule type="expression" dxfId="1666" priority="429">
      <formula>$AA58=2</formula>
    </cfRule>
  </conditionalFormatting>
  <conditionalFormatting sqref="S127">
    <cfRule type="expression" dxfId="1665" priority="428">
      <formula>$AA127=2</formula>
    </cfRule>
  </conditionalFormatting>
  <conditionalFormatting sqref="S44">
    <cfRule type="expression" dxfId="1664" priority="427">
      <formula>$AA44=2</formula>
    </cfRule>
  </conditionalFormatting>
  <conditionalFormatting sqref="Z211:Z214">
    <cfRule type="expression" dxfId="1663" priority="426">
      <formula>$AA211=2</formula>
    </cfRule>
  </conditionalFormatting>
  <conditionalFormatting sqref="Z147:Z149">
    <cfRule type="expression" dxfId="1662" priority="425">
      <formula>$AA147=2</formula>
    </cfRule>
  </conditionalFormatting>
  <conditionalFormatting sqref="Z124">
    <cfRule type="expression" dxfId="1661" priority="386">
      <formula>$AA124=2</formula>
    </cfRule>
  </conditionalFormatting>
  <conditionalFormatting sqref="Z215">
    <cfRule type="expression" dxfId="1660" priority="424">
      <formula>$AA215=2</formula>
    </cfRule>
  </conditionalFormatting>
  <conditionalFormatting sqref="Z17">
    <cfRule type="expression" dxfId="1659" priority="423">
      <formula>$AA17=2</formula>
    </cfRule>
  </conditionalFormatting>
  <conditionalFormatting sqref="Z15">
    <cfRule type="expression" dxfId="1658" priority="422">
      <formula>$AA15=2</formula>
    </cfRule>
  </conditionalFormatting>
  <conditionalFormatting sqref="Z13:Z14">
    <cfRule type="expression" dxfId="1657" priority="421">
      <formula>$AA13=2</formula>
    </cfRule>
  </conditionalFormatting>
  <conditionalFormatting sqref="Z12">
    <cfRule type="expression" dxfId="1656" priority="420">
      <formula>$AA12=2</formula>
    </cfRule>
  </conditionalFormatting>
  <conditionalFormatting sqref="Z22">
    <cfRule type="expression" dxfId="1655" priority="419">
      <formula>$AA22=2</formula>
    </cfRule>
  </conditionalFormatting>
  <conditionalFormatting sqref="Z23">
    <cfRule type="expression" dxfId="1654" priority="418">
      <formula>$AA23=2</formula>
    </cfRule>
  </conditionalFormatting>
  <conditionalFormatting sqref="Z24">
    <cfRule type="expression" dxfId="1653" priority="417">
      <formula>$AA24=2</formula>
    </cfRule>
  </conditionalFormatting>
  <conditionalFormatting sqref="Z25">
    <cfRule type="expression" dxfId="1652" priority="416">
      <formula>$AA25=2</formula>
    </cfRule>
  </conditionalFormatting>
  <conditionalFormatting sqref="Z29">
    <cfRule type="expression" dxfId="1651" priority="415">
      <formula>$AA29=2</formula>
    </cfRule>
  </conditionalFormatting>
  <conditionalFormatting sqref="Z30">
    <cfRule type="expression" dxfId="1650" priority="414">
      <formula>$AA30=2</formula>
    </cfRule>
  </conditionalFormatting>
  <conditionalFormatting sqref="Z31">
    <cfRule type="expression" dxfId="1649" priority="413">
      <formula>$AA31=2</formula>
    </cfRule>
  </conditionalFormatting>
  <conditionalFormatting sqref="Z33">
    <cfRule type="expression" dxfId="1648" priority="412">
      <formula>$AA33=2</formula>
    </cfRule>
  </conditionalFormatting>
  <conditionalFormatting sqref="Z34">
    <cfRule type="expression" dxfId="1647" priority="411">
      <formula>$AA34=2</formula>
    </cfRule>
  </conditionalFormatting>
  <conditionalFormatting sqref="Z35">
    <cfRule type="expression" dxfId="1646" priority="410">
      <formula>$AA35=2</formula>
    </cfRule>
  </conditionalFormatting>
  <conditionalFormatting sqref="Z39:Z41">
    <cfRule type="expression" dxfId="1645" priority="409">
      <formula>$AA39=2</formula>
    </cfRule>
  </conditionalFormatting>
  <conditionalFormatting sqref="Z67">
    <cfRule type="expression" dxfId="1644" priority="408">
      <formula>$AA67=2</formula>
    </cfRule>
  </conditionalFormatting>
  <conditionalFormatting sqref="Z97">
    <cfRule type="expression" dxfId="1643" priority="407">
      <formula>$AA97=2</formula>
    </cfRule>
  </conditionalFormatting>
  <conditionalFormatting sqref="Z106">
    <cfRule type="expression" dxfId="1642" priority="406">
      <formula>$AA106=2</formula>
    </cfRule>
  </conditionalFormatting>
  <conditionalFormatting sqref="Z120">
    <cfRule type="expression" dxfId="1641" priority="405">
      <formula>$AA120=2</formula>
    </cfRule>
  </conditionalFormatting>
  <conditionalFormatting sqref="Z150">
    <cfRule type="expression" dxfId="1640" priority="404">
      <formula>$AA150=2</formula>
    </cfRule>
  </conditionalFormatting>
  <conditionalFormatting sqref="Z165">
    <cfRule type="expression" dxfId="1639" priority="403">
      <formula>$AA165=2</formula>
    </cfRule>
  </conditionalFormatting>
  <conditionalFormatting sqref="Z197">
    <cfRule type="expression" dxfId="1638" priority="402">
      <formula>$AA197=2</formula>
    </cfRule>
  </conditionalFormatting>
  <conditionalFormatting sqref="Z47">
    <cfRule type="expression" dxfId="1637" priority="401">
      <formula>$AA47=2</formula>
    </cfRule>
  </conditionalFormatting>
  <conditionalFormatting sqref="Z52">
    <cfRule type="expression" dxfId="1636" priority="400">
      <formula>$AA52=2</formula>
    </cfRule>
  </conditionalFormatting>
  <conditionalFormatting sqref="Z56">
    <cfRule type="expression" dxfId="1635" priority="399">
      <formula>$AA56=2</formula>
    </cfRule>
  </conditionalFormatting>
  <conditionalFormatting sqref="Z59">
    <cfRule type="expression" dxfId="1634" priority="398">
      <formula>$AA59=2</formula>
    </cfRule>
  </conditionalFormatting>
  <conditionalFormatting sqref="Z62">
    <cfRule type="expression" dxfId="1633" priority="397">
      <formula>$AA62=2</formula>
    </cfRule>
  </conditionalFormatting>
  <conditionalFormatting sqref="Z75">
    <cfRule type="expression" dxfId="1632" priority="396">
      <formula>$AA75=2</formula>
    </cfRule>
  </conditionalFormatting>
  <conditionalFormatting sqref="Z79">
    <cfRule type="expression" dxfId="1631" priority="395">
      <formula>$AA79=2</formula>
    </cfRule>
  </conditionalFormatting>
  <conditionalFormatting sqref="Z82">
    <cfRule type="expression" dxfId="1630" priority="394">
      <formula>$AA82=2</formula>
    </cfRule>
  </conditionalFormatting>
  <conditionalFormatting sqref="Z85">
    <cfRule type="expression" dxfId="1629" priority="393">
      <formula>$AA85=2</formula>
    </cfRule>
  </conditionalFormatting>
  <conditionalFormatting sqref="Z89">
    <cfRule type="expression" dxfId="1628" priority="392">
      <formula>$AA89=2</formula>
    </cfRule>
  </conditionalFormatting>
  <conditionalFormatting sqref="Z92">
    <cfRule type="expression" dxfId="1627" priority="391">
      <formula>$AA92=2</formula>
    </cfRule>
  </conditionalFormatting>
  <conditionalFormatting sqref="Z100">
    <cfRule type="expression" dxfId="1626" priority="390">
      <formula>$AA100=2</formula>
    </cfRule>
  </conditionalFormatting>
  <conditionalFormatting sqref="Z109">
    <cfRule type="expression" dxfId="1625" priority="389">
      <formula>$AA109=2</formula>
    </cfRule>
  </conditionalFormatting>
  <conditionalFormatting sqref="Z111">
    <cfRule type="expression" dxfId="1624" priority="388">
      <formula>$AA111=2</formula>
    </cfRule>
  </conditionalFormatting>
  <conditionalFormatting sqref="Z115">
    <cfRule type="expression" dxfId="1623" priority="387">
      <formula>$AA115=2</formula>
    </cfRule>
  </conditionalFormatting>
  <conditionalFormatting sqref="Z128">
    <cfRule type="expression" dxfId="1622" priority="385">
      <formula>$AA128=2</formula>
    </cfRule>
  </conditionalFormatting>
  <conditionalFormatting sqref="Z132">
    <cfRule type="expression" dxfId="1621" priority="384">
      <formula>$AA132=2</formula>
    </cfRule>
  </conditionalFormatting>
  <conditionalFormatting sqref="Z138">
    <cfRule type="expression" dxfId="1620" priority="383">
      <formula>$AA138=2</formula>
    </cfRule>
  </conditionalFormatting>
  <conditionalFormatting sqref="Z143">
    <cfRule type="expression" dxfId="1619" priority="382">
      <formula>$AA143=2</formula>
    </cfRule>
  </conditionalFormatting>
  <conditionalFormatting sqref="Z156">
    <cfRule type="expression" dxfId="1618" priority="381">
      <formula>$AA156=2</formula>
    </cfRule>
  </conditionalFormatting>
  <conditionalFormatting sqref="Z158">
    <cfRule type="expression" dxfId="1617" priority="380">
      <formula>$AA158=2</formula>
    </cfRule>
  </conditionalFormatting>
  <conditionalFormatting sqref="Z160">
    <cfRule type="expression" dxfId="1616" priority="379">
      <formula>$AA160=2</formula>
    </cfRule>
  </conditionalFormatting>
  <conditionalFormatting sqref="Z168">
    <cfRule type="expression" dxfId="1615" priority="378">
      <formula>$AA168=2</formula>
    </cfRule>
  </conditionalFormatting>
  <conditionalFormatting sqref="Z172:Z173">
    <cfRule type="expression" dxfId="1614" priority="377">
      <formula>$AA172=2</formula>
    </cfRule>
  </conditionalFormatting>
  <conditionalFormatting sqref="Z180">
    <cfRule type="expression" dxfId="1613" priority="376">
      <formula>$AA180=2</formula>
    </cfRule>
  </conditionalFormatting>
  <conditionalFormatting sqref="Z184">
    <cfRule type="expression" dxfId="1612" priority="375">
      <formula>$AA184=2</formula>
    </cfRule>
  </conditionalFormatting>
  <conditionalFormatting sqref="Z186">
    <cfRule type="expression" dxfId="1611" priority="374">
      <formula>$AA186=2</formula>
    </cfRule>
  </conditionalFormatting>
  <conditionalFormatting sqref="Z189">
    <cfRule type="expression" dxfId="1610" priority="373">
      <formula>$AA189=2</formula>
    </cfRule>
  </conditionalFormatting>
  <conditionalFormatting sqref="Z202">
    <cfRule type="expression" dxfId="1609" priority="372">
      <formula>$AA202=2</formula>
    </cfRule>
  </conditionalFormatting>
  <conditionalFormatting sqref="Z205">
    <cfRule type="expression" dxfId="1608" priority="371">
      <formula>$AA205=2</formula>
    </cfRule>
  </conditionalFormatting>
  <conditionalFormatting sqref="Z208">
    <cfRule type="expression" dxfId="1607" priority="370">
      <formula>$AA208=2</formula>
    </cfRule>
  </conditionalFormatting>
  <conditionalFormatting sqref="Z42:Z43">
    <cfRule type="expression" dxfId="1606" priority="369">
      <formula>$AA42=2</formula>
    </cfRule>
  </conditionalFormatting>
  <conditionalFormatting sqref="Z48:Z51">
    <cfRule type="expression" dxfId="1605" priority="368">
      <formula>$AA48=2</formula>
    </cfRule>
  </conditionalFormatting>
  <conditionalFormatting sqref="Z53:Z55">
    <cfRule type="expression" dxfId="1604" priority="367">
      <formula>$AA53=2</formula>
    </cfRule>
  </conditionalFormatting>
  <conditionalFormatting sqref="Z57">
    <cfRule type="expression" dxfId="1603" priority="366">
      <formula>$AA57=2</formula>
    </cfRule>
  </conditionalFormatting>
  <conditionalFormatting sqref="Z60:Z61">
    <cfRule type="expression" dxfId="1602" priority="365">
      <formula>$AA60=2</formula>
    </cfRule>
  </conditionalFormatting>
  <conditionalFormatting sqref="Z63">
    <cfRule type="expression" dxfId="1601" priority="364">
      <formula>$AA63=2</formula>
    </cfRule>
  </conditionalFormatting>
  <conditionalFormatting sqref="Z69:Z74">
    <cfRule type="expression" dxfId="1600" priority="363">
      <formula>$AA69=2</formula>
    </cfRule>
  </conditionalFormatting>
  <conditionalFormatting sqref="Z76:Z78">
    <cfRule type="expression" dxfId="1599" priority="362">
      <formula>$AA76=2</formula>
    </cfRule>
  </conditionalFormatting>
  <conditionalFormatting sqref="Z80:Z81">
    <cfRule type="expression" dxfId="1598" priority="361">
      <formula>$AA80=2</formula>
    </cfRule>
  </conditionalFormatting>
  <conditionalFormatting sqref="Z83:Z84">
    <cfRule type="expression" dxfId="1597" priority="360">
      <formula>$AA83=2</formula>
    </cfRule>
  </conditionalFormatting>
  <conditionalFormatting sqref="Z88">
    <cfRule type="expression" dxfId="1596" priority="359">
      <formula>$AA88=2</formula>
    </cfRule>
  </conditionalFormatting>
  <conditionalFormatting sqref="Z90:Z91">
    <cfRule type="expression" dxfId="1595" priority="358">
      <formula>$AA90=2</formula>
    </cfRule>
  </conditionalFormatting>
  <conditionalFormatting sqref="Z93">
    <cfRule type="expression" dxfId="1594" priority="357">
      <formula>$AA93=2</formula>
    </cfRule>
  </conditionalFormatting>
  <conditionalFormatting sqref="Z98:Z99">
    <cfRule type="expression" dxfId="1593" priority="356">
      <formula>$AA98=2</formula>
    </cfRule>
  </conditionalFormatting>
  <conditionalFormatting sqref="Z102">
    <cfRule type="expression" dxfId="1592" priority="355">
      <formula>$AA102=2</formula>
    </cfRule>
  </conditionalFormatting>
  <conditionalFormatting sqref="Z108">
    <cfRule type="expression" dxfId="1591" priority="354">
      <formula>$AA108=2</formula>
    </cfRule>
  </conditionalFormatting>
  <conditionalFormatting sqref="Z110">
    <cfRule type="expression" dxfId="1590" priority="353">
      <formula>$AA110=2</formula>
    </cfRule>
  </conditionalFormatting>
  <conditionalFormatting sqref="Z112:Z114">
    <cfRule type="expression" dxfId="1589" priority="352">
      <formula>$AA112=2</formula>
    </cfRule>
  </conditionalFormatting>
  <conditionalFormatting sqref="Z116">
    <cfRule type="expression" dxfId="1588" priority="351">
      <formula>$AA116=2</formula>
    </cfRule>
  </conditionalFormatting>
  <conditionalFormatting sqref="Z121:Z122">
    <cfRule type="expression" dxfId="1587" priority="350">
      <formula>$AA121=2</formula>
    </cfRule>
  </conditionalFormatting>
  <conditionalFormatting sqref="Z123">
    <cfRule type="expression" dxfId="1586" priority="349">
      <formula>$AA123=2</formula>
    </cfRule>
  </conditionalFormatting>
  <conditionalFormatting sqref="Z125:Z126">
    <cfRule type="expression" dxfId="1585" priority="348">
      <formula>$AA125=2</formula>
    </cfRule>
  </conditionalFormatting>
  <conditionalFormatting sqref="Z129:Z131">
    <cfRule type="expression" dxfId="1584" priority="347">
      <formula>$AA129=2</formula>
    </cfRule>
  </conditionalFormatting>
  <conditionalFormatting sqref="Z133:Z136">
    <cfRule type="expression" dxfId="1583" priority="346">
      <formula>$AA133=2</formula>
    </cfRule>
  </conditionalFormatting>
  <conditionalFormatting sqref="Z140:Z142">
    <cfRule type="expression" dxfId="1582" priority="345">
      <formula>$AA140=2</formula>
    </cfRule>
  </conditionalFormatting>
  <conditionalFormatting sqref="Z144:Z146">
    <cfRule type="expression" dxfId="1581" priority="344">
      <formula>$AA144=2</formula>
    </cfRule>
  </conditionalFormatting>
  <conditionalFormatting sqref="Z152:Z155">
    <cfRule type="expression" dxfId="1580" priority="343">
      <formula>$AA152=2</formula>
    </cfRule>
  </conditionalFormatting>
  <conditionalFormatting sqref="Z157">
    <cfRule type="expression" dxfId="1579" priority="342">
      <formula>$AA157=2</formula>
    </cfRule>
  </conditionalFormatting>
  <conditionalFormatting sqref="Z161">
    <cfRule type="expression" dxfId="1578" priority="341">
      <formula>$AA161=2</formula>
    </cfRule>
  </conditionalFormatting>
  <conditionalFormatting sqref="Z166:Z167">
    <cfRule type="expression" dxfId="1577" priority="340">
      <formula>$AA166=2</formula>
    </cfRule>
  </conditionalFormatting>
  <conditionalFormatting sqref="Z169:Z171">
    <cfRule type="expression" dxfId="1576" priority="339">
      <formula>$AA169=2</formula>
    </cfRule>
  </conditionalFormatting>
  <conditionalFormatting sqref="Z177:Z179">
    <cfRule type="expression" dxfId="1575" priority="338">
      <formula>$AA177=2</formula>
    </cfRule>
  </conditionalFormatting>
  <conditionalFormatting sqref="Z181:Z183">
    <cfRule type="expression" dxfId="1574" priority="337">
      <formula>$AA181=2</formula>
    </cfRule>
  </conditionalFormatting>
  <conditionalFormatting sqref="Z185">
    <cfRule type="expression" dxfId="1573" priority="336">
      <formula>$AA185=2</formula>
    </cfRule>
  </conditionalFormatting>
  <conditionalFormatting sqref="Z187:Z188">
    <cfRule type="expression" dxfId="1572" priority="335">
      <formula>$AA187=2</formula>
    </cfRule>
  </conditionalFormatting>
  <conditionalFormatting sqref="Z190:Z193">
    <cfRule type="expression" dxfId="1571" priority="334">
      <formula>$AA190=2</formula>
    </cfRule>
  </conditionalFormatting>
  <conditionalFormatting sqref="Z203:Z204">
    <cfRule type="expression" dxfId="1570" priority="333">
      <formula>$AA203=2</formula>
    </cfRule>
  </conditionalFormatting>
  <conditionalFormatting sqref="Z206:Z207">
    <cfRule type="expression" dxfId="1569" priority="332">
      <formula>$AA206=2</formula>
    </cfRule>
  </conditionalFormatting>
  <conditionalFormatting sqref="Z209:Z210">
    <cfRule type="expression" dxfId="1568" priority="331">
      <formula>$AA209=2</formula>
    </cfRule>
  </conditionalFormatting>
  <conditionalFormatting sqref="Z199">
    <cfRule type="expression" dxfId="1567" priority="330">
      <formula>$AA199=2</formula>
    </cfRule>
  </conditionalFormatting>
  <conditionalFormatting sqref="Z201">
    <cfRule type="expression" dxfId="1566" priority="329">
      <formula>$AA201=2</formula>
    </cfRule>
  </conditionalFormatting>
  <conditionalFormatting sqref="Z137">
    <cfRule type="expression" dxfId="1565" priority="328">
      <formula>$AA137=2</formula>
    </cfRule>
  </conditionalFormatting>
  <conditionalFormatting sqref="Z200">
    <cfRule type="expression" dxfId="1564" priority="327">
      <formula>$AA200=2</formula>
    </cfRule>
  </conditionalFormatting>
  <conditionalFormatting sqref="Z26">
    <cfRule type="expression" dxfId="1563" priority="326">
      <formula>$AA26=2</formula>
    </cfRule>
  </conditionalFormatting>
  <conditionalFormatting sqref="Z27">
    <cfRule type="expression" dxfId="1562" priority="325">
      <formula>$AA27=2</formula>
    </cfRule>
  </conditionalFormatting>
  <conditionalFormatting sqref="Z87">
    <cfRule type="expression" dxfId="1561" priority="324">
      <formula>$AA87=2</formula>
    </cfRule>
  </conditionalFormatting>
  <conditionalFormatting sqref="Z101">
    <cfRule type="expression" dxfId="1560" priority="323">
      <formula>$AA101=2</formula>
    </cfRule>
  </conditionalFormatting>
  <conditionalFormatting sqref="Z16">
    <cfRule type="expression" dxfId="1559" priority="322">
      <formula>$AA16=2</formula>
    </cfRule>
  </conditionalFormatting>
  <conditionalFormatting sqref="Z159">
    <cfRule type="expression" dxfId="1558" priority="321">
      <formula>$AA159=2</formula>
    </cfRule>
  </conditionalFormatting>
  <conditionalFormatting sqref="Z174:Z175">
    <cfRule type="expression" dxfId="1557" priority="320">
      <formula>$AA174=2</formula>
    </cfRule>
  </conditionalFormatting>
  <conditionalFormatting sqref="Z176">
    <cfRule type="expression" dxfId="1556" priority="319">
      <formula>$AA176=2</formula>
    </cfRule>
  </conditionalFormatting>
  <conditionalFormatting sqref="Z175">
    <cfRule type="expression" dxfId="1555" priority="318">
      <formula>$AA175=2</formula>
    </cfRule>
  </conditionalFormatting>
  <conditionalFormatting sqref="Z179">
    <cfRule type="expression" dxfId="1554" priority="317">
      <formula>$AA179=2</formula>
    </cfRule>
  </conditionalFormatting>
  <conditionalFormatting sqref="Z58">
    <cfRule type="expression" dxfId="1553" priority="316">
      <formula>$AA58=2</formula>
    </cfRule>
  </conditionalFormatting>
  <conditionalFormatting sqref="Z127">
    <cfRule type="expression" dxfId="1552" priority="315">
      <formula>$AA127=2</formula>
    </cfRule>
  </conditionalFormatting>
  <conditionalFormatting sqref="Z45">
    <cfRule type="expression" dxfId="1551" priority="314">
      <formula>$AA45=2</formula>
    </cfRule>
  </conditionalFormatting>
  <conditionalFormatting sqref="Z44">
    <cfRule type="expression" dxfId="1550" priority="313">
      <formula>$AA44=2</formula>
    </cfRule>
  </conditionalFormatting>
  <conditionalFormatting sqref="Z46">
    <cfRule type="expression" dxfId="1549" priority="312">
      <formula>$AA46=2</formula>
    </cfRule>
  </conditionalFormatting>
  <conditionalFormatting sqref="L68">
    <cfRule type="expression" dxfId="1548" priority="310">
      <formula>$AA68=2</formula>
    </cfRule>
  </conditionalFormatting>
  <conditionalFormatting sqref="Z68">
    <cfRule type="expression" dxfId="1547" priority="309">
      <formula>$AA68=2</formula>
    </cfRule>
  </conditionalFormatting>
  <conditionalFormatting sqref="H40:I41">
    <cfRule type="expression" dxfId="1546" priority="308">
      <formula>$AC40=2</formula>
    </cfRule>
  </conditionalFormatting>
  <conditionalFormatting sqref="G40:G41">
    <cfRule type="expression" dxfId="1545" priority="307">
      <formula>$AC40=2</formula>
    </cfRule>
  </conditionalFormatting>
  <conditionalFormatting sqref="G40:G41">
    <cfRule type="expression" dxfId="1544" priority="306">
      <formula>G40&gt;F40</formula>
    </cfRule>
  </conditionalFormatting>
  <conditionalFormatting sqref="H40:H41">
    <cfRule type="expression" dxfId="1543" priority="305">
      <formula>F40=0</formula>
    </cfRule>
  </conditionalFormatting>
  <conditionalFormatting sqref="I40:I41">
    <cfRule type="expression" dxfId="1542" priority="304">
      <formula>F40=0</formula>
    </cfRule>
  </conditionalFormatting>
  <conditionalFormatting sqref="N40:N41">
    <cfRule type="expression" dxfId="1541" priority="303">
      <formula>$AC40=2</formula>
    </cfRule>
  </conditionalFormatting>
  <conditionalFormatting sqref="N40:N41">
    <cfRule type="expression" dxfId="1540" priority="302">
      <formula>N40&gt;F40</formula>
    </cfRule>
  </conditionalFormatting>
  <conditionalFormatting sqref="O40:O41">
    <cfRule type="expression" dxfId="1539" priority="299">
      <formula>$AC40=2</formula>
    </cfRule>
  </conditionalFormatting>
  <conditionalFormatting sqref="O40:O41">
    <cfRule type="expression" dxfId="1538" priority="298">
      <formula>F40=0</formula>
    </cfRule>
  </conditionalFormatting>
  <conditionalFormatting sqref="V40:V41">
    <cfRule type="expression" dxfId="1537" priority="297">
      <formula>$AC40=2</formula>
    </cfRule>
  </conditionalFormatting>
  <conditionalFormatting sqref="U40:U41">
    <cfRule type="expression" dxfId="1536" priority="296">
      <formula>$AC40=2</formula>
    </cfRule>
  </conditionalFormatting>
  <conditionalFormatting sqref="U40:U41">
    <cfRule type="expression" dxfId="1535" priority="295">
      <formula>U40&gt;F40</formula>
    </cfRule>
  </conditionalFormatting>
  <conditionalFormatting sqref="V40:V41">
    <cfRule type="expression" dxfId="1534" priority="292">
      <formula>F40=0</formula>
    </cfRule>
  </conditionalFormatting>
  <conditionalFormatting sqref="AB40:AB41">
    <cfRule type="expression" dxfId="1533" priority="290">
      <formula>$AJ$4="Nei"</formula>
    </cfRule>
    <cfRule type="expression" dxfId="1532" priority="291">
      <formula>$AC40=2</formula>
    </cfRule>
  </conditionalFormatting>
  <conditionalFormatting sqref="O192">
    <cfRule type="expression" dxfId="1531" priority="289">
      <formula>$AC192=2</formula>
    </cfRule>
  </conditionalFormatting>
  <conditionalFormatting sqref="O192">
    <cfRule type="expression" dxfId="1530" priority="288">
      <formula>F192=0</formula>
    </cfRule>
  </conditionalFormatting>
  <conditionalFormatting sqref="V192">
    <cfRule type="expression" dxfId="1529" priority="287">
      <formula>$AC192=2</formula>
    </cfRule>
  </conditionalFormatting>
  <conditionalFormatting sqref="V192">
    <cfRule type="expression" dxfId="1528" priority="286">
      <formula>F192=0</formula>
    </cfRule>
  </conditionalFormatting>
  <conditionalFormatting sqref="H155:I155">
    <cfRule type="expression" dxfId="1527" priority="285">
      <formula>$AC155=2</formula>
    </cfRule>
  </conditionalFormatting>
  <conditionalFormatting sqref="J155:K155">
    <cfRule type="expression" dxfId="1526" priority="281">
      <formula>$AD155=4</formula>
    </cfRule>
    <cfRule type="expression" dxfId="1525" priority="282">
      <formula>$AD155=3</formula>
    </cfRule>
    <cfRule type="expression" dxfId="1524" priority="283">
      <formula>$AD155=2</formula>
    </cfRule>
    <cfRule type="expression" dxfId="1523" priority="284">
      <formula>$AD155=1</formula>
    </cfRule>
  </conditionalFormatting>
  <conditionalFormatting sqref="J155:K155">
    <cfRule type="expression" dxfId="1522" priority="280">
      <formula>$AC155=2</formula>
    </cfRule>
  </conditionalFormatting>
  <conditionalFormatting sqref="G155">
    <cfRule type="expression" dxfId="1521" priority="279">
      <formula>$AC155=2</formula>
    </cfRule>
  </conditionalFormatting>
  <conditionalFormatting sqref="G155">
    <cfRule type="expression" dxfId="1520" priority="278">
      <formula>G155&gt;F155</formula>
    </cfRule>
  </conditionalFormatting>
  <conditionalFormatting sqref="H155">
    <cfRule type="expression" dxfId="1519" priority="277">
      <formula>F155=0</formula>
    </cfRule>
  </conditionalFormatting>
  <conditionalFormatting sqref="I155">
    <cfRule type="expression" dxfId="1518" priority="276">
      <formula>F155=0</formula>
    </cfRule>
  </conditionalFormatting>
  <conditionalFormatting sqref="Q155:R155">
    <cfRule type="expression" dxfId="1517" priority="275">
      <formula>$AC155=2</formula>
    </cfRule>
  </conditionalFormatting>
  <conditionalFormatting sqref="Q155:R155">
    <cfRule type="expression" dxfId="1516" priority="269">
      <formula>$AE155=4</formula>
    </cfRule>
    <cfRule type="expression" dxfId="1515" priority="270">
      <formula>$AE155=3</formula>
    </cfRule>
    <cfRule type="expression" dxfId="1514" priority="271">
      <formula>$AE155=2</formula>
    </cfRule>
    <cfRule type="expression" dxfId="1513" priority="272">
      <formula>$AE155=1</formula>
    </cfRule>
  </conditionalFormatting>
  <conditionalFormatting sqref="O155">
    <cfRule type="expression" dxfId="1512" priority="268">
      <formula>$AC155=2</formula>
    </cfRule>
  </conditionalFormatting>
  <conditionalFormatting sqref="N155">
    <cfRule type="expression" dxfId="1511" priority="267">
      <formula>$AC155=2</formula>
    </cfRule>
  </conditionalFormatting>
  <conditionalFormatting sqref="N155">
    <cfRule type="expression" dxfId="1510" priority="266">
      <formula>N155&gt;F155</formula>
    </cfRule>
  </conditionalFormatting>
  <conditionalFormatting sqref="O155">
    <cfRule type="expression" dxfId="1509" priority="263">
      <formula>F155=0</formula>
    </cfRule>
  </conditionalFormatting>
  <conditionalFormatting sqref="X155:Y155">
    <cfRule type="expression" dxfId="1508" priority="262">
      <formula>$AC155=2</formula>
    </cfRule>
  </conditionalFormatting>
  <conditionalFormatting sqref="X155:Y155">
    <cfRule type="expression" dxfId="1507" priority="258">
      <formula>$AF155=4</formula>
    </cfRule>
    <cfRule type="expression" dxfId="1506" priority="259">
      <formula>$AF155=3</formula>
    </cfRule>
    <cfRule type="expression" dxfId="1505" priority="260">
      <formula>$AF155=2</formula>
    </cfRule>
    <cfRule type="expression" dxfId="1504" priority="261">
      <formula>$AF155=1</formula>
    </cfRule>
  </conditionalFormatting>
  <conditionalFormatting sqref="V155">
    <cfRule type="expression" dxfId="1503" priority="255">
      <formula>$AC155=2</formula>
    </cfRule>
  </conditionalFormatting>
  <conditionalFormatting sqref="U155">
    <cfRule type="expression" dxfId="1502" priority="254">
      <formula>$AC155=2</formula>
    </cfRule>
  </conditionalFormatting>
  <conditionalFormatting sqref="U155">
    <cfRule type="expression" dxfId="1501" priority="253">
      <formula>U155&gt;F155</formula>
    </cfRule>
  </conditionalFormatting>
  <conditionalFormatting sqref="V155">
    <cfRule type="expression" dxfId="1500" priority="250">
      <formula>F155=0</formula>
    </cfRule>
  </conditionalFormatting>
  <conditionalFormatting sqref="H167:I167">
    <cfRule type="expression" dxfId="1499" priority="249">
      <formula>$AC167=2</formula>
    </cfRule>
  </conditionalFormatting>
  <conditionalFormatting sqref="J167">
    <cfRule type="expression" dxfId="1498" priority="245">
      <formula>$AD167=4</formula>
    </cfRule>
    <cfRule type="expression" dxfId="1497" priority="246">
      <formula>$AD167=3</formula>
    </cfRule>
    <cfRule type="expression" dxfId="1496" priority="247">
      <formula>$AD167=2</formula>
    </cfRule>
    <cfRule type="expression" dxfId="1495" priority="248">
      <formula>$AD167=1</formula>
    </cfRule>
  </conditionalFormatting>
  <conditionalFormatting sqref="J167">
    <cfRule type="expression" dxfId="1494" priority="244">
      <formula>$AC167=2</formula>
    </cfRule>
  </conditionalFormatting>
  <conditionalFormatting sqref="G167">
    <cfRule type="expression" dxfId="1493" priority="243">
      <formula>$AC167=2</formula>
    </cfRule>
  </conditionalFormatting>
  <conditionalFormatting sqref="G167">
    <cfRule type="expression" dxfId="1492" priority="242">
      <formula>G167&gt;F167</formula>
    </cfRule>
  </conditionalFormatting>
  <conditionalFormatting sqref="H167">
    <cfRule type="expression" dxfId="1491" priority="241">
      <formula>F167=0</formula>
    </cfRule>
  </conditionalFormatting>
  <conditionalFormatting sqref="I167">
    <cfRule type="expression" dxfId="1490" priority="240">
      <formula>F167=0</formula>
    </cfRule>
  </conditionalFormatting>
  <conditionalFormatting sqref="Q167">
    <cfRule type="expression" dxfId="1489" priority="239">
      <formula>$AC167=2</formula>
    </cfRule>
  </conditionalFormatting>
  <conditionalFormatting sqref="Q167">
    <cfRule type="expression" dxfId="1488" priority="233">
      <formula>$AE167=4</formula>
    </cfRule>
    <cfRule type="expression" dxfId="1487" priority="234">
      <formula>$AE167=3</formula>
    </cfRule>
    <cfRule type="expression" dxfId="1486" priority="235">
      <formula>$AE167=2</formula>
    </cfRule>
    <cfRule type="expression" dxfId="1485" priority="236">
      <formula>$AE167=1</formula>
    </cfRule>
  </conditionalFormatting>
  <conditionalFormatting sqref="O167">
    <cfRule type="expression" dxfId="1484" priority="830">
      <formula>$AC167=2</formula>
    </cfRule>
  </conditionalFormatting>
  <conditionalFormatting sqref="N167">
    <cfRule type="expression" dxfId="1483" priority="231">
      <formula>$AC167=2</formula>
    </cfRule>
  </conditionalFormatting>
  <conditionalFormatting sqref="N167">
    <cfRule type="expression" dxfId="1482" priority="230">
      <formula>N167&gt;F167</formula>
    </cfRule>
  </conditionalFormatting>
  <conditionalFormatting sqref="O167">
    <cfRule type="expression" dxfId="1481" priority="232">
      <formula>F167=0</formula>
    </cfRule>
  </conditionalFormatting>
  <conditionalFormatting sqref="X167:Y167">
    <cfRule type="expression" dxfId="1480" priority="226">
      <formula>$AC167=2</formula>
    </cfRule>
  </conditionalFormatting>
  <conditionalFormatting sqref="X167:Y167">
    <cfRule type="expression" dxfId="1479" priority="222">
      <formula>$AF167=4</formula>
    </cfRule>
    <cfRule type="expression" dxfId="1478" priority="223">
      <formula>$AF167=3</formula>
    </cfRule>
    <cfRule type="expression" dxfId="1477" priority="224">
      <formula>$AF167=2</formula>
    </cfRule>
    <cfRule type="expression" dxfId="1476" priority="225">
      <formula>$AF167=1</formula>
    </cfRule>
  </conditionalFormatting>
  <conditionalFormatting sqref="V167">
    <cfRule type="expression" dxfId="1475" priority="829">
      <formula>$AC167=2</formula>
    </cfRule>
  </conditionalFormatting>
  <conditionalFormatting sqref="U167">
    <cfRule type="expression" dxfId="1474" priority="218">
      <formula>$AC167=2</formula>
    </cfRule>
  </conditionalFormatting>
  <conditionalFormatting sqref="U167">
    <cfRule type="expression" dxfId="1473" priority="217">
      <formula>U167&gt;F167</formula>
    </cfRule>
  </conditionalFormatting>
  <conditionalFormatting sqref="V167">
    <cfRule type="expression" dxfId="1472" priority="219">
      <formula>F167=0</formula>
    </cfRule>
  </conditionalFormatting>
  <conditionalFormatting sqref="N4:S7">
    <cfRule type="expression" dxfId="1471" priority="213">
      <formula>$S$8=AD_no</formula>
    </cfRule>
  </conditionalFormatting>
  <conditionalFormatting sqref="U4:Z7">
    <cfRule type="expression" dxfId="1470" priority="212">
      <formula>$Z$8=AD_no</formula>
    </cfRule>
  </conditionalFormatting>
  <conditionalFormatting sqref="G71">
    <cfRule type="expression" dxfId="1469" priority="210">
      <formula>$AC71=2</formula>
    </cfRule>
  </conditionalFormatting>
  <conditionalFormatting sqref="G71">
    <cfRule type="expression" dxfId="1468" priority="209">
      <formula>G71&gt;F71</formula>
    </cfRule>
  </conditionalFormatting>
  <conditionalFormatting sqref="I71">
    <cfRule type="expression" dxfId="1467" priority="206">
      <formula>$AC71=2</formula>
    </cfRule>
  </conditionalFormatting>
  <conditionalFormatting sqref="I71">
    <cfRule type="expression" dxfId="1466" priority="205">
      <formula>F71=0</formula>
    </cfRule>
  </conditionalFormatting>
  <conditionalFormatting sqref="H71">
    <cfRule type="expression" dxfId="1465" priority="204">
      <formula>$AC71=2</formula>
    </cfRule>
  </conditionalFormatting>
  <conditionalFormatting sqref="H71">
    <cfRule type="expression" dxfId="1464" priority="203">
      <formula>F71=0</formula>
    </cfRule>
  </conditionalFormatting>
  <conditionalFormatting sqref="N71">
    <cfRule type="expression" dxfId="1463" priority="202">
      <formula>$AC71=2</formula>
    </cfRule>
  </conditionalFormatting>
  <conditionalFormatting sqref="N71">
    <cfRule type="expression" dxfId="1462" priority="201">
      <formula>N71&gt;F71</formula>
    </cfRule>
  </conditionalFormatting>
  <conditionalFormatting sqref="U71">
    <cfRule type="expression" dxfId="1461" priority="193">
      <formula>$AC71=2</formula>
    </cfRule>
  </conditionalFormatting>
  <conditionalFormatting sqref="U71">
    <cfRule type="expression" dxfId="1460" priority="192">
      <formula>U71&gt;F71</formula>
    </cfRule>
  </conditionalFormatting>
  <conditionalFormatting sqref="H107:I107">
    <cfRule type="expression" dxfId="1459" priority="188">
      <formula>$AC107=2</formula>
    </cfRule>
  </conditionalFormatting>
  <conditionalFormatting sqref="H107">
    <cfRule type="expression" dxfId="1458" priority="185">
      <formula>F107=0</formula>
    </cfRule>
  </conditionalFormatting>
  <conditionalFormatting sqref="I107">
    <cfRule type="expression" dxfId="1457" priority="184">
      <formula>F107=0</formula>
    </cfRule>
  </conditionalFormatting>
  <conditionalFormatting sqref="Q107:R107">
    <cfRule type="expression" dxfId="1456" priority="183">
      <formula>$AC107=2</formula>
    </cfRule>
  </conditionalFormatting>
  <conditionalFormatting sqref="Q107:R107">
    <cfRule type="expression" dxfId="1455" priority="179">
      <formula>$AE107=4</formula>
    </cfRule>
    <cfRule type="expression" dxfId="1454" priority="180">
      <formula>$AE107=3</formula>
    </cfRule>
    <cfRule type="expression" dxfId="1453" priority="181">
      <formula>$AE107=2</formula>
    </cfRule>
    <cfRule type="expression" dxfId="1452" priority="182">
      <formula>$AE107=1</formula>
    </cfRule>
  </conditionalFormatting>
  <conditionalFormatting sqref="X107:Y107">
    <cfRule type="expression" dxfId="1451" priority="175">
      <formula>$AF107=4</formula>
    </cfRule>
    <cfRule type="expression" dxfId="1450" priority="176">
      <formula>$AF107=3</formula>
    </cfRule>
    <cfRule type="expression" dxfId="1449" priority="177">
      <formula>$AF107=2</formula>
    </cfRule>
    <cfRule type="expression" dxfId="1448" priority="178">
      <formula>$AF107=1</formula>
    </cfRule>
  </conditionalFormatting>
  <conditionalFormatting sqref="X107:Y107">
    <cfRule type="expression" dxfId="1447" priority="174">
      <formula>$AC107=2</formula>
    </cfRule>
  </conditionalFormatting>
  <conditionalFormatting sqref="O107">
    <cfRule type="expression" dxfId="1446" priority="169">
      <formula>$AC107=2</formula>
    </cfRule>
  </conditionalFormatting>
  <conditionalFormatting sqref="V107">
    <cfRule type="expression" dxfId="1445" priority="168">
      <formula>$AC107=2</formula>
    </cfRule>
  </conditionalFormatting>
  <conditionalFormatting sqref="O107">
    <cfRule type="expression" dxfId="1444" priority="159">
      <formula>F107=0</formula>
    </cfRule>
  </conditionalFormatting>
  <conditionalFormatting sqref="V107">
    <cfRule type="expression" dxfId="1443" priority="158">
      <formula>F107=0</formula>
    </cfRule>
  </conditionalFormatting>
  <conditionalFormatting sqref="S107">
    <cfRule type="expression" dxfId="1442" priority="157">
      <formula>$AA107=2</formula>
    </cfRule>
  </conditionalFormatting>
  <conditionalFormatting sqref="Z107">
    <cfRule type="expression" dxfId="1441" priority="156">
      <formula>$AA107=2</formula>
    </cfRule>
  </conditionalFormatting>
  <conditionalFormatting sqref="J151:K151">
    <cfRule type="expression" dxfId="1440" priority="150">
      <formula>$AD151=4</formula>
    </cfRule>
    <cfRule type="expression" dxfId="1439" priority="151">
      <formula>$AD151=3</formula>
    </cfRule>
    <cfRule type="expression" dxfId="1438" priority="152">
      <formula>$AD151=2</formula>
    </cfRule>
    <cfRule type="expression" dxfId="1437" priority="153">
      <formula>$AD151=1</formula>
    </cfRule>
  </conditionalFormatting>
  <conditionalFormatting sqref="J151:K151">
    <cfRule type="expression" dxfId="1436" priority="149">
      <formula>$AC151=2</formula>
    </cfRule>
  </conditionalFormatting>
  <conditionalFormatting sqref="L151">
    <cfRule type="expression" dxfId="1435" priority="148">
      <formula>$AC151=2</formula>
    </cfRule>
  </conditionalFormatting>
  <conditionalFormatting sqref="H151:I151">
    <cfRule type="expression" dxfId="1434" priority="147">
      <formula>$AC151=2</formula>
    </cfRule>
  </conditionalFormatting>
  <conditionalFormatting sqref="H151">
    <cfRule type="expression" dxfId="1433" priority="144">
      <formula>F151=0</formula>
    </cfRule>
  </conditionalFormatting>
  <conditionalFormatting sqref="I151">
    <cfRule type="expression" dxfId="1432" priority="143">
      <formula>F151=0</formula>
    </cfRule>
  </conditionalFormatting>
  <conditionalFormatting sqref="Q151:R151">
    <cfRule type="expression" dxfId="1431" priority="142">
      <formula>$AC151=2</formula>
    </cfRule>
  </conditionalFormatting>
  <conditionalFormatting sqref="Q151:R151">
    <cfRule type="expression" dxfId="1430" priority="138">
      <formula>$AE151=4</formula>
    </cfRule>
    <cfRule type="expression" dxfId="1429" priority="139">
      <formula>$AE151=3</formula>
    </cfRule>
    <cfRule type="expression" dxfId="1428" priority="140">
      <formula>$AE151=2</formula>
    </cfRule>
    <cfRule type="expression" dxfId="1427" priority="141">
      <formula>$AE151=1</formula>
    </cfRule>
  </conditionalFormatting>
  <conditionalFormatting sqref="X151:Y151">
    <cfRule type="expression" dxfId="1426" priority="134">
      <formula>$AF151=4</formula>
    </cfRule>
    <cfRule type="expression" dxfId="1425" priority="135">
      <formula>$AF151=3</formula>
    </cfRule>
    <cfRule type="expression" dxfId="1424" priority="136">
      <formula>$AF151=2</formula>
    </cfRule>
    <cfRule type="expression" dxfId="1423" priority="137">
      <formula>$AF151=1</formula>
    </cfRule>
  </conditionalFormatting>
  <conditionalFormatting sqref="X151:Y151">
    <cfRule type="expression" dxfId="1422" priority="133">
      <formula>$AC151=2</formula>
    </cfRule>
  </conditionalFormatting>
  <conditionalFormatting sqref="O151">
    <cfRule type="expression" dxfId="1421" priority="128">
      <formula>$AC151=2</formula>
    </cfRule>
  </conditionalFormatting>
  <conditionalFormatting sqref="V151">
    <cfRule type="expression" dxfId="1420" priority="127">
      <formula>$AC151=2</formula>
    </cfRule>
  </conditionalFormatting>
  <conditionalFormatting sqref="O151">
    <cfRule type="expression" dxfId="1419" priority="118">
      <formula>F151=0</formula>
    </cfRule>
  </conditionalFormatting>
  <conditionalFormatting sqref="V151">
    <cfRule type="expression" dxfId="1418" priority="117">
      <formula>F151=0</formula>
    </cfRule>
  </conditionalFormatting>
  <conditionalFormatting sqref="S151">
    <cfRule type="expression" dxfId="1417" priority="116">
      <formula>$AA151=2</formula>
    </cfRule>
  </conditionalFormatting>
  <conditionalFormatting sqref="Z151">
    <cfRule type="expression" dxfId="1416" priority="115">
      <formula>$AA151=2</formula>
    </cfRule>
  </conditionalFormatting>
  <conditionalFormatting sqref="X139:Y139 H139:I139 Q139:R139">
    <cfRule type="expression" dxfId="1415" priority="112">
      <formula>$AC139=2</formula>
    </cfRule>
  </conditionalFormatting>
  <conditionalFormatting sqref="Q139:R139">
    <cfRule type="expression" dxfId="1414" priority="105">
      <formula>$AE139=4</formula>
    </cfRule>
    <cfRule type="expression" dxfId="1413" priority="106">
      <formula>$AE139=3</formula>
    </cfRule>
    <cfRule type="expression" dxfId="1412" priority="107">
      <formula>$AE139=2</formula>
    </cfRule>
    <cfRule type="expression" dxfId="1411" priority="108">
      <formula>$AE139=1</formula>
    </cfRule>
  </conditionalFormatting>
  <conditionalFormatting sqref="X139:Y139">
    <cfRule type="expression" dxfId="1410" priority="101">
      <formula>$AF139=4</formula>
    </cfRule>
    <cfRule type="expression" dxfId="1409" priority="102">
      <formula>$AF139=3</formula>
    </cfRule>
    <cfRule type="expression" dxfId="1408" priority="103">
      <formula>$AF139=2</formula>
    </cfRule>
    <cfRule type="expression" dxfId="1407" priority="104">
      <formula>$AF139=1</formula>
    </cfRule>
  </conditionalFormatting>
  <conditionalFormatting sqref="J139:K139">
    <cfRule type="expression" dxfId="1406" priority="95">
      <formula>$AD139=4</formula>
    </cfRule>
    <cfRule type="expression" dxfId="1405" priority="96">
      <formula>$AD139=3</formula>
    </cfRule>
    <cfRule type="expression" dxfId="1404" priority="97">
      <formula>$AD139=2</formula>
    </cfRule>
    <cfRule type="expression" dxfId="1403" priority="98">
      <formula>$AD139=1</formula>
    </cfRule>
  </conditionalFormatting>
  <conditionalFormatting sqref="J139:K139">
    <cfRule type="expression" dxfId="1402" priority="94">
      <formula>$AC139=2</formula>
    </cfRule>
  </conditionalFormatting>
  <conditionalFormatting sqref="L139">
    <cfRule type="expression" dxfId="1401" priority="93">
      <formula>$AC139=2</formula>
    </cfRule>
  </conditionalFormatting>
  <conditionalFormatting sqref="O139">
    <cfRule type="expression" dxfId="1400" priority="92">
      <formula>$AC139=2</formula>
    </cfRule>
  </conditionalFormatting>
  <conditionalFormatting sqref="V139">
    <cfRule type="expression" dxfId="1399" priority="91">
      <formula>$AC139=2</formula>
    </cfRule>
  </conditionalFormatting>
  <conditionalFormatting sqref="G139">
    <cfRule type="expression" dxfId="1398" priority="90">
      <formula>$AC139=2</formula>
    </cfRule>
  </conditionalFormatting>
  <conditionalFormatting sqref="G139">
    <cfRule type="expression" dxfId="1397" priority="89">
      <formula>G139&gt;F139</formula>
    </cfRule>
  </conditionalFormatting>
  <conditionalFormatting sqref="N139">
    <cfRule type="expression" dxfId="1396" priority="88">
      <formula>$AC139=2</formula>
    </cfRule>
  </conditionalFormatting>
  <conditionalFormatting sqref="N139">
    <cfRule type="expression" dxfId="1395" priority="87">
      <formula>N139&gt;F139</formula>
    </cfRule>
  </conditionalFormatting>
  <conditionalFormatting sqref="U139">
    <cfRule type="expression" dxfId="1394" priority="84">
      <formula>$AC139=2</formula>
    </cfRule>
  </conditionalFormatting>
  <conditionalFormatting sqref="U139">
    <cfRule type="expression" dxfId="1393" priority="83">
      <formula>U139&gt;F139</formula>
    </cfRule>
  </conditionalFormatting>
  <conditionalFormatting sqref="H139">
    <cfRule type="expression" dxfId="1392" priority="80">
      <formula>F139=0</formula>
    </cfRule>
  </conditionalFormatting>
  <conditionalFormatting sqref="I139">
    <cfRule type="expression" dxfId="1391" priority="79">
      <formula>F139=0</formula>
    </cfRule>
  </conditionalFormatting>
  <conditionalFormatting sqref="O139">
    <cfRule type="expression" dxfId="1390" priority="110">
      <formula>F139=0</formula>
    </cfRule>
  </conditionalFormatting>
  <conditionalFormatting sqref="V139">
    <cfRule type="expression" dxfId="1389" priority="109">
      <formula>F139=0</formula>
    </cfRule>
  </conditionalFormatting>
  <conditionalFormatting sqref="S139">
    <cfRule type="expression" dxfId="1388" priority="78">
      <formula>$AA139=2</formula>
    </cfRule>
  </conditionalFormatting>
  <conditionalFormatting sqref="Z139">
    <cfRule type="expression" dxfId="1387" priority="77">
      <formula>$AA139=2</formula>
    </cfRule>
  </conditionalFormatting>
  <conditionalFormatting sqref="G152">
    <cfRule type="expression" dxfId="1386" priority="74">
      <formula>$AC152=2</formula>
    </cfRule>
  </conditionalFormatting>
  <conditionalFormatting sqref="G152">
    <cfRule type="expression" dxfId="1385" priority="73">
      <formula>G152&gt;F152</formula>
    </cfRule>
  </conditionalFormatting>
  <conditionalFormatting sqref="N152">
    <cfRule type="expression" dxfId="1384" priority="72">
      <formula>$AC152=2</formula>
    </cfRule>
  </conditionalFormatting>
  <conditionalFormatting sqref="N152">
    <cfRule type="expression" dxfId="1383" priority="71">
      <formula>N152&gt;F152</formula>
    </cfRule>
  </conditionalFormatting>
  <conditionalFormatting sqref="U152">
    <cfRule type="expression" dxfId="1382" priority="67">
      <formula>$AC152=2</formula>
    </cfRule>
  </conditionalFormatting>
  <conditionalFormatting sqref="U152">
    <cfRule type="expression" dxfId="1381" priority="66">
      <formula>U152&gt;F152</formula>
    </cfRule>
  </conditionalFormatting>
  <conditionalFormatting sqref="G151">
    <cfRule type="expression" dxfId="1380" priority="61">
      <formula>G151&gt;F151</formula>
    </cfRule>
  </conditionalFormatting>
  <conditionalFormatting sqref="G151">
    <cfRule type="expression" dxfId="1379" priority="62">
      <formula>$AC151=2</formula>
    </cfRule>
  </conditionalFormatting>
  <conditionalFormatting sqref="N151">
    <cfRule type="expression" dxfId="1378" priority="60">
      <formula>$AC151=2</formula>
    </cfRule>
  </conditionalFormatting>
  <conditionalFormatting sqref="N151">
    <cfRule type="expression" dxfId="1377" priority="59">
      <formula>N151&gt;F151</formula>
    </cfRule>
  </conditionalFormatting>
  <conditionalFormatting sqref="U151">
    <cfRule type="expression" dxfId="1376" priority="55">
      <formula>$AC151=2</formula>
    </cfRule>
  </conditionalFormatting>
  <conditionalFormatting sqref="U151">
    <cfRule type="expression" dxfId="1375" priority="54">
      <formula>U151&gt;F151</formula>
    </cfRule>
  </conditionalFormatting>
  <conditionalFormatting sqref="G108">
    <cfRule type="expression" dxfId="1374" priority="50">
      <formula>$AC108=2</formula>
    </cfRule>
  </conditionalFormatting>
  <conditionalFormatting sqref="G108">
    <cfRule type="expression" dxfId="1373" priority="49">
      <formula>G108&gt;F108</formula>
    </cfRule>
  </conditionalFormatting>
  <conditionalFormatting sqref="N108">
    <cfRule type="expression" dxfId="1372" priority="48">
      <formula>$AC108=2</formula>
    </cfRule>
  </conditionalFormatting>
  <conditionalFormatting sqref="N108">
    <cfRule type="expression" dxfId="1371" priority="47">
      <formula>N108&gt;F108</formula>
    </cfRule>
  </conditionalFormatting>
  <conditionalFormatting sqref="U108">
    <cfRule type="expression" dxfId="1370" priority="43">
      <formula>$AC108=2</formula>
    </cfRule>
  </conditionalFormatting>
  <conditionalFormatting sqref="U108">
    <cfRule type="expression" dxfId="1369" priority="42">
      <formula>U108&gt;F108</formula>
    </cfRule>
  </conditionalFormatting>
  <conditionalFormatting sqref="N107">
    <cfRule type="expression" dxfId="1368" priority="38">
      <formula>$AC107=2</formula>
    </cfRule>
  </conditionalFormatting>
  <conditionalFormatting sqref="N107">
    <cfRule type="expression" dxfId="1367" priority="37">
      <formula>N107&gt;F107</formula>
    </cfRule>
  </conditionalFormatting>
  <conditionalFormatting sqref="U107">
    <cfRule type="expression" dxfId="1366" priority="33">
      <formula>$AC107=2</formula>
    </cfRule>
  </conditionalFormatting>
  <conditionalFormatting sqref="U107">
    <cfRule type="expression" dxfId="1365" priority="32">
      <formula>U107&gt;F107</formula>
    </cfRule>
  </conditionalFormatting>
  <conditionalFormatting sqref="G107">
    <cfRule type="expression" dxfId="1364" priority="27">
      <formula>G107&gt;F107</formula>
    </cfRule>
  </conditionalFormatting>
  <conditionalFormatting sqref="G107">
    <cfRule type="expression" dxfId="1363" priority="28">
      <formula>$AC107=2</formula>
    </cfRule>
  </conditionalFormatting>
  <conditionalFormatting sqref="V36">
    <cfRule type="expression" dxfId="1362" priority="26">
      <formula>$AC36=2</formula>
    </cfRule>
  </conditionalFormatting>
  <conditionalFormatting sqref="G73">
    <cfRule type="expression" dxfId="1361" priority="25">
      <formula>$AC73=2</formula>
    </cfRule>
  </conditionalFormatting>
  <conditionalFormatting sqref="G73">
    <cfRule type="expression" dxfId="1360" priority="24">
      <formula>G73&gt;F73</formula>
    </cfRule>
  </conditionalFormatting>
  <conditionalFormatting sqref="N73">
    <cfRule type="expression" dxfId="1359" priority="23">
      <formula>$AC73=2</formula>
    </cfRule>
  </conditionalFormatting>
  <conditionalFormatting sqref="N73">
    <cfRule type="expression" dxfId="1358" priority="22">
      <formula>N73&gt;F73</formula>
    </cfRule>
  </conditionalFormatting>
  <conditionalFormatting sqref="U73">
    <cfRule type="expression" dxfId="1357" priority="19">
      <formula>$AC73=2</formula>
    </cfRule>
  </conditionalFormatting>
  <conditionalFormatting sqref="U73">
    <cfRule type="expression" dxfId="1356" priority="18">
      <formula>U73&gt;F73</formula>
    </cfRule>
  </conditionalFormatting>
  <conditionalFormatting sqref="I73">
    <cfRule type="expression" dxfId="1355" priority="14">
      <formula>$AC73=2</formula>
    </cfRule>
  </conditionalFormatting>
  <conditionalFormatting sqref="I73">
    <cfRule type="expression" dxfId="1354" priority="13">
      <formula>F73=0</formula>
    </cfRule>
  </conditionalFormatting>
  <conditionalFormatting sqref="H73">
    <cfRule type="expression" dxfId="1353" priority="12">
      <formula>$AC73=2</formula>
    </cfRule>
  </conditionalFormatting>
  <conditionalFormatting sqref="H73">
    <cfRule type="expression" dxfId="1352" priority="11">
      <formula>F73=0</formula>
    </cfRule>
  </conditionalFormatting>
  <conditionalFormatting sqref="G14">
    <cfRule type="expression" dxfId="1351" priority="10">
      <formula>$AC14=2</formula>
    </cfRule>
  </conditionalFormatting>
  <conditionalFormatting sqref="G14">
    <cfRule type="expression" dxfId="1350" priority="9">
      <formula>G14&gt;F14</formula>
    </cfRule>
  </conditionalFormatting>
  <conditionalFormatting sqref="N14">
    <cfRule type="expression" dxfId="1349" priority="8">
      <formula>$AC14=2</formula>
    </cfRule>
  </conditionalFormatting>
  <conditionalFormatting sqref="N14">
    <cfRule type="expression" dxfId="1348" priority="7">
      <formula>N14&gt;F14</formula>
    </cfRule>
  </conditionalFormatting>
  <conditionalFormatting sqref="U14">
    <cfRule type="expression" dxfId="1347" priority="4">
      <formula>$AC14=2</formula>
    </cfRule>
  </conditionalFormatting>
  <conditionalFormatting sqref="U14">
    <cfRule type="expression" dxfId="1346" priority="3">
      <formula>U14&gt;F14</formula>
    </cfRule>
  </conditionalFormatting>
  <dataValidations count="19">
    <dataValidation type="decimal" operator="lessThanOrEqual" allowBlank="1" showInputMessage="1" showErrorMessage="1" errorTitle="Invalid entry" error="Cannot award more credits than available" sqref="G144:G146 G191:G193 G214:G227 G58 G130:G131 G157 U156:U161 G112:G114 U42:U47 G159 G93 G110 N58:N63 G206:G207 N156:N161 G33:G35 G29:G31 G174:G175 G116 G122:G123 G126:G127 U74:U93 G19:G20 U200:U210 U102 U58:U63 G42:G46 G140:G142 G203:G204 G53:G55 U214:U227 G49:G51 G60:G61 N191:N193 G63 U168 G76:G78 U140:U146 G80:G81 G188 G83:G84 G185 G182:G183 G90:G91 G22:G27 G98:G99 G102 G170:G171 N15:N35 G161 G178:G179 G151 N109:N116 N74:N93 U191:U193 G209:G210 N214:N227 G134:G137 G107 N42:N47 N49:N56 N120 N122:N124 N126:N128 N130:N132 G166 N170:N176 N178:N180 N182:N186 N188:N189 U49:U56 U120 U122:U124 U126:U128 U130:U132 N168 U170:U176 U178:U180 U182:U186 U188:U189 N140:N146 G153:G154 G200:G201 N200:N210 N197:N198 G198 U197:U198 N102 G15:G17 G74 G86:G88 U97:U100 N97:N100 N39 U39 N153:N154 U153:U154 N165:N166 U165:U166 G68:G70 N67:N70 U67:U70 U106:U107 N106:N107 U150:U151 N150:N151 N134:N138 U134:U138 U109:U116 G72 N72 U72 G12:G13 N11:N13 U11:U13 U15:U35" xr:uid="{00000000-0002-0000-0200-000000000000}">
      <formula1>$F11</formula1>
    </dataValidation>
    <dataValidation allowBlank="1" showInputMessage="1" showErrorMessage="1" promptTitle="Sorting" prompt="Sort from smallest to largest to get original sorting" sqref="A9" xr:uid="{00000000-0002-0000-0200-000001000000}"/>
    <dataValidation type="list" allowBlank="1" showInputMessage="1" showErrorMessage="1" sqref="S8 Z8" xr:uid="{00000000-0002-0000-0200-000002000000}">
      <formula1>AD_YesNo</formula1>
    </dataValidation>
    <dataValidation type="list" allowBlank="1" showInputMessage="1" showErrorMessage="1" sqref="N257:P257 G257 U257:W257 G247 N247:P247 U247:W247 G250 N250:P250 U250:W250 G253:G254 N253:P254 U253:W254 N259:P260 G259:G260 U259:W260 G48 G57 G121 G125 G129 G133 G169 G177 G181 G187 G190 G199 G101 G40:G41 G155 G167 G71 G152 G139 G108 G73 G14" xr:uid="{00000000-0002-0000-0200-000003000000}">
      <formula1>janei</formula1>
    </dataValidation>
    <dataValidation type="list" operator="lessThanOrEqual" allowBlank="1" showInputMessage="1" showErrorMessage="1" errorTitle="Invalid entry" error="Cannot award more credits than available" sqref="N258:P258 G258 U258:W258 N48 U48 N57 N121 N125 N129 N133 N169 N177 N181 N187 N190 U57 U121 U125 U129 U133 U169 U177 U181 U187 U190 N199 U199 N101 U101 N40:N41 U40:U41 N155 U155 N167 U167 N71 U71 U152 N108 U139 N152 N139 U108 N73 U73 N14 U14" xr:uid="{00000000-0002-0000-0200-000004000000}">
      <formula1>janei</formula1>
    </dataValidation>
    <dataValidation type="list" allowBlank="1" showInputMessage="1" showErrorMessage="1" sqref="K214:K227 Y214:Y227 R253:R254 Y256:Y261 K247:K250 Y247:Y250 R247:R250 R197:R210 K256:K261 Y67:Y93 R256:R261 Y39:Y63 R39:R63 K39:K63 R11:R35 Y165:Y193 K106:K116 K165:K193 R214:R227 K238 K253:K254 Y238 Y253:Y254 R238 R150:R161 Y197:Y210 K197:K210 K11:K35 K97:K102 K67:K93 R67:R93 Y97:Y102 R97:R102 Y11:Y35 R106:R116 R165:R193 Y106:Y116 Y150:Y161 K150:K161 Y120:Y146 K120:K146 R120:R146" xr:uid="{00000000-0002-0000-0200-000009000000}">
      <formula1>status</formula1>
    </dataValidation>
    <dataValidation type="list" allowBlank="1" showInputMessage="1" showErrorMessage="1" sqref="AB11" xr:uid="{DB3CADF3-8BC5-476F-81CA-6BDA2C5277F8}">
      <formula1>$AS$11:$AT$11</formula1>
    </dataValidation>
    <dataValidation type="list" allowBlank="1" showInputMessage="1" showErrorMessage="1" sqref="AB18:AB20" xr:uid="{9350211D-61B2-4DA7-BE0E-7C11E1E6B433}">
      <formula1>AS11:AT11</formula1>
    </dataValidation>
    <dataValidation type="list" allowBlank="1" showInputMessage="1" showErrorMessage="1" sqref="AB202:AB210 AB109:AB110 AB79:AB84 AB52:AB55 AB92:AB93 AB28 AB143 AB249 AB132:AB139" xr:uid="{F0C1D095-7E66-46D9-A85F-66F520A2EB89}">
      <formula1>AR28:AU28</formula1>
    </dataValidation>
    <dataValidation type="list" allowBlank="1" showInputMessage="1" showErrorMessage="1" sqref="AB247 AB67 AB106:AB108 AB250 AB32 AB253:AB254 AB85:AB88" xr:uid="{D98CD08E-0EE3-4406-9E21-0FBC679D511E}">
      <formula1>AR32:AT32</formula1>
    </dataValidation>
    <dataValidation type="list" allowBlank="1" showInputMessage="1" showErrorMessage="1" sqref="AB56:AB58" xr:uid="{4C2207EF-568B-47C8-9151-2773F5E6F66A}">
      <formula1>$AS$56:$AT$56</formula1>
    </dataValidation>
    <dataValidation type="list" allowBlank="1" showInputMessage="1" showErrorMessage="1" sqref="AB75:AB78" xr:uid="{1331576C-E601-4F1C-A204-89C25D50F13A}">
      <formula1>$AR$75:$AW$75</formula1>
    </dataValidation>
    <dataValidation type="list" allowBlank="1" showInputMessage="1" showErrorMessage="1" sqref="AB156:AB159" xr:uid="{1D790340-B611-4D8C-807E-51EA2B2982E1}">
      <formula1>$AS$156:$AT$156</formula1>
    </dataValidation>
    <dataValidation type="list" allowBlank="1" showInputMessage="1" showErrorMessage="1" sqref="AB160:AB161" xr:uid="{B6D98BD2-E44A-45F0-85A9-DD6C63C7B0A6}">
      <formula1>$AS$160:$AT$160</formula1>
    </dataValidation>
    <dataValidation type="list" allowBlank="1" showInputMessage="1" showErrorMessage="1" sqref="AB39:AB46" xr:uid="{C3729FE3-E8D4-44CC-A21D-4515CC7AAB60}">
      <formula1>$AR$39:$AX$39</formula1>
    </dataValidation>
    <dataValidation type="list" allowBlank="1" showInputMessage="1" showErrorMessage="1" sqref="AB197:AB201" xr:uid="{BB53C0A7-3B79-4BA3-8464-4D5B1B5FF110}">
      <formula1>$AR$197:$AV$197</formula1>
    </dataValidation>
    <dataValidation type="list" allowBlank="1" showInputMessage="1" showErrorMessage="1" sqref="AB111:AB114" xr:uid="{75B977C5-2350-4159-ABB6-5AEF25C36DC6}">
      <formula1>$AR$111:$AV$111</formula1>
    </dataValidation>
    <dataValidation type="list" allowBlank="1" showInputMessage="1" showErrorMessage="1" sqref="AB47" xr:uid="{392145BC-95C6-4582-97CF-A0374FD78752}">
      <formula1>$AR$47:$AW$47</formula1>
    </dataValidation>
    <dataValidation type="list" allowBlank="1" showInputMessage="1" showErrorMessage="1" sqref="AB238 AB89:AB91 AB115:AB116 AB59:AB63 AB150:AB151 AB214:AB227 AB97 AB248 AB21 AB120:AB122 AB124 AB128 AB256:AB261 AB100:AB102 AB165:AB193" xr:uid="{023AEDB0-0A68-4401-A6A1-3F72B4EA8505}">
      <formula1>AIS_NA</formula1>
    </dataValidation>
  </dataValidations>
  <pageMargins left="0.25" right="0.25" top="0.75" bottom="0.75" header="0.3" footer="0.3"/>
  <pageSetup paperSize="9" scale="47" fitToHeight="0" orientation="landscape" r:id="rId1"/>
  <headerFooter>
    <oddFooter xml:space="preserve">&amp;L&amp;F&amp;C&amp;D&amp;RPage &amp;P of &amp;N  </oddFooter>
  </headerFooter>
  <ignoredErrors>
    <ignoredError sqref="V19:BE35 H229:T337 V18:W18 Z18:BE18 O18:P18 O19:Q19 S18:T19 V174:BE337 V53:X53 Z53:BE53 O127:Q127 S127:T127 V140:BE150 V54:BE70 F71 V116:BE123 O128:T138 Y108:BE115 E107:F107 F109:F115 AA152:BE154 E151:F151 F153:F154 V74:BE106 V107:X107 V151:Z151 O43:T70 O140:T151 H44:M47 H140:M151 C152 V42:BE52 W36:BE36 V37:BE40 O20:T39 H18:M39 O40:Q40 S40:T40 O42:Q42 S42:T42 C42 H153:M154 J152:M152 O174:T228 Q152:T152 V153:Z154 X152:Z152 H110:M123 J108:M108 O109:T123 Q108:T108 V109:X115 X108 H125:M138 J124:M124 O125:T126 Q124:T124 V125:BE138 X124:BE124 H40:J40 L40:M40 H74:M74 H48:J48 L48:M48 H76:M107 H75:J75 L75:M75 H109:J109 L109:M109 O74:T107 O71:Q71 S71:T71 H174:M228 H155:J155 L155:M155 H42:J43 L42:M43 H156:M172 O153:T172 V155:BE172 O72:T72 H49:M72 V71:Z72 AA72:BE72" formula="1"/>
  </ignoredError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expression" priority="227" id="{26E8AFB8-EB8E-4549-91E2-6F0B5A9F2377}">
            <xm:f>$S$8='Assessment Details'!$Q$23</xm:f>
            <x14:dxf>
              <font>
                <color theme="0"/>
              </font>
              <fill>
                <patternFill>
                  <bgColor theme="0"/>
                </patternFill>
              </fill>
              <border>
                <left/>
                <right/>
                <top/>
                <bottom/>
                <vertical/>
                <horizontal/>
              </border>
            </x14:dxf>
          </x14:cfRule>
          <xm:sqref>N109:S138 N140:S150 O152:S152 O108:S108 N153:S228 N9:S106</xm:sqref>
        </x14:conditionalFormatting>
        <x14:conditionalFormatting xmlns:xm="http://schemas.microsoft.com/office/excel/2006/main">
          <x14:cfRule type="expression" priority="4563" id="{F07B10D0-2688-4D2D-9352-51F0145E8B48}">
            <xm:f>$S$8='Assessment Details'!$Q$23</xm:f>
            <x14:dxf>
              <border>
                <left style="thin">
                  <color theme="0"/>
                </left>
                <right style="thin">
                  <color theme="0"/>
                </right>
                <top style="thin">
                  <color theme="0"/>
                </top>
                <bottom style="thin">
                  <color theme="0"/>
                </bottom>
                <vertical/>
                <horizontal/>
              </border>
            </x14:dxf>
          </x14:cfRule>
          <xm:sqref>N148:O149 N195:O196 N228 N9:S10 N37:O38 N19:N20 N104:O105 N256:S261 N36 N65:O66 N95:O96 N118:O119 N163:O164 N212:O213 N214:N222 N64 N94 N103 N117 N147 N162 N194 N211 Q174:R175 Q42:R46 Q48:R51 Q53:R55 Q57:R58 Q60:R61 Q63:R63 Q68:R74 Q76:R78 Q80:R81 Q83:R84 N88 Q90:R91 Q93:R93 Q98:R99 Q102:R102 Q108:R108 Q110:R110 Q112:R114 Q116:R116 Q121:R123 Q125:R127 Q129:R131 Q140:R142 Q144:R146 Q152:R154 Q157:R157 Q159:R159 Q161:R161 Q166:R166 Q169:R171 Q177:R179 Q181:R183 Q185:R185 Q187:R188 Q190:R193 Q198:R198 Q203:R204 Q206:R207 Q209:R210 Q133:R137 Q200:R201 Q86:R88 S216:S227 Q163:R164 Q118:R119 Q95:R96 Q65:R66 Q104:R105 Q11:R38 Q195:R196 Q148:R149 Q212:R227 Q238:S238 N247:S248 N253:S254 N250:S250 Q228:S228 R167</xm:sqref>
        </x14:conditionalFormatting>
        <x14:conditionalFormatting xmlns:xm="http://schemas.microsoft.com/office/excel/2006/main">
          <x14:cfRule type="expression" priority="214" id="{1B653B29-3D42-40C1-932B-B69CCB31110E}">
            <xm:f>$Z$8='Assessment Details'!$Q$23</xm:f>
            <x14:dxf>
              <font>
                <color theme="0"/>
              </font>
              <fill>
                <patternFill>
                  <bgColor theme="0"/>
                </patternFill>
              </fill>
              <border>
                <left/>
                <right/>
                <top/>
                <bottom/>
              </border>
            </x14:dxf>
          </x14:cfRule>
          <xm:sqref>U72:Z72 V71:Z71 U109:Z138 U140:Z150 V152:Z152 V108:Z108 U153:Z228 U74:Z106 V73:Z73 U9:Z70</xm:sqref>
        </x14:conditionalFormatting>
        <x14:conditionalFormatting xmlns:xm="http://schemas.microsoft.com/office/excel/2006/main">
          <x14:cfRule type="expression" priority="4561" id="{EF72BBD8-21BF-47F9-A216-8FDC90D5599B}">
            <xm:f>$Z$8='Assessment Details'!$Q$23</xm:f>
            <x14:dxf>
              <border>
                <left style="thin">
                  <color theme="0"/>
                </left>
                <right style="thin">
                  <color theme="0"/>
                </right>
                <top style="thin">
                  <color theme="0"/>
                </top>
                <bottom style="thin">
                  <color theme="0"/>
                </bottom>
                <vertical/>
                <horizontal/>
              </border>
            </x14:dxf>
          </x14:cfRule>
          <xm:sqref>U148:V149 U195:V196 Z228 U9:Z10 X18:Y21 X253:Y253 X28:Y28 U37:V38 X11:Y11 X32:Y32 U104:V105 U258:Y258 U36 U65:V66 U95:V96 U118:V119 U163:V164 U212:V213 U214:U222 X174:Y175 X88:Y88 U88 X211:Y228 X162:Y164 X117:Y119 X94:Y96 X64:Y66 X103:Y105 X36:Y38 X194:Y196 X147:Y149</xm:sqref>
        </x14:conditionalFormatting>
        <x14:conditionalFormatting xmlns:xm="http://schemas.microsoft.com/office/excel/2006/main">
          <x14:cfRule type="expression" priority="4490" id="{3B48386A-6E88-435D-96E3-7ECE48307FC5}">
            <xm:f>$Z$8='Assessment Details'!$Q$23</xm:f>
            <x14:dxf>
              <font>
                <color theme="0"/>
              </font>
              <fill>
                <patternFill>
                  <bgColor theme="0"/>
                </patternFill>
              </fill>
            </x14:dxf>
          </x14:cfRule>
          <xm:sqref>AB9</xm:sqref>
        </x14:conditionalFormatting>
        <x14:conditionalFormatting xmlns:xm="http://schemas.microsoft.com/office/excel/2006/main">
          <x14:cfRule type="expression" priority="4489" id="{DD02E5C0-2556-4DD5-BD85-B262FB3B1D1C}">
            <xm:f>$Z$8='Assessment Details'!$Q$23</xm:f>
            <x14:dxf>
              <border>
                <left style="thin">
                  <color theme="0"/>
                </left>
                <right style="thin">
                  <color theme="0"/>
                </right>
                <top style="thin">
                  <color theme="0"/>
                </top>
                <bottom style="thin">
                  <color theme="0"/>
                </bottom>
                <vertical/>
                <horizontal/>
              </border>
            </x14:dxf>
          </x14:cfRule>
          <xm:sqref>AB9</xm:sqref>
        </x14:conditionalFormatting>
        <x14:conditionalFormatting xmlns:xm="http://schemas.microsoft.com/office/excel/2006/main">
          <x14:cfRule type="expression" priority="4352" id="{EB55F4F4-1DD4-4294-9406-21C3CBEF7E73}">
            <xm:f>$S$8='Assessment Details'!$Q$23</xm:f>
            <x14:dxf>
              <font>
                <color theme="0"/>
              </font>
              <fill>
                <patternFill>
                  <bgColor theme="0"/>
                </patternFill>
              </fill>
              <border>
                <vertical/>
                <horizontal/>
              </border>
            </x14:dxf>
          </x14:cfRule>
          <xm:sqref>N223</xm:sqref>
        </x14:conditionalFormatting>
        <x14:conditionalFormatting xmlns:xm="http://schemas.microsoft.com/office/excel/2006/main">
          <x14:cfRule type="expression" priority="4351" id="{F53F118C-8F6E-4BA5-BF71-8B5D02386E74}">
            <xm:f>$S$8='Assessment Details'!$Q$23</xm:f>
            <x14:dxf>
              <border>
                <left style="thin">
                  <color theme="0"/>
                </left>
                <right style="thin">
                  <color theme="0"/>
                </right>
                <top style="thin">
                  <color theme="0"/>
                </top>
                <bottom style="thin">
                  <color theme="0"/>
                </bottom>
                <vertical/>
                <horizontal/>
              </border>
            </x14:dxf>
          </x14:cfRule>
          <xm:sqref>N223</xm:sqref>
        </x14:conditionalFormatting>
        <x14:conditionalFormatting xmlns:xm="http://schemas.microsoft.com/office/excel/2006/main">
          <x14:cfRule type="expression" priority="4350" id="{AF28C966-0E6E-4749-BB73-48B9A7BC2ACE}">
            <xm:f>$Z$8='Assessment Details'!$Q$23</xm:f>
            <x14:dxf>
              <font>
                <color theme="0"/>
              </font>
              <fill>
                <patternFill>
                  <bgColor theme="0"/>
                </patternFill>
              </fill>
            </x14:dxf>
          </x14:cfRule>
          <xm:sqref>U223</xm:sqref>
        </x14:conditionalFormatting>
        <x14:conditionalFormatting xmlns:xm="http://schemas.microsoft.com/office/excel/2006/main">
          <x14:cfRule type="expression" priority="4349" id="{C4A652AD-542D-4A51-8B0A-38440CC32874}">
            <xm:f>$Z$8='Assessment Details'!$Q$23</xm:f>
            <x14:dxf>
              <border>
                <left style="thin">
                  <color theme="0"/>
                </left>
                <right style="thin">
                  <color theme="0"/>
                </right>
                <top style="thin">
                  <color theme="0"/>
                </top>
                <bottom style="thin">
                  <color theme="0"/>
                </bottom>
                <vertical/>
                <horizontal/>
              </border>
            </x14:dxf>
          </x14:cfRule>
          <xm:sqref>U223</xm:sqref>
        </x14:conditionalFormatting>
        <x14:conditionalFormatting xmlns:xm="http://schemas.microsoft.com/office/excel/2006/main">
          <x14:cfRule type="expression" priority="4332" id="{C6F0C1E9-58BE-4F8C-8B3F-826B41B00157}">
            <xm:f>$S$8='Assessment Details'!$Q$23</xm:f>
            <x14:dxf>
              <font>
                <color theme="0"/>
              </font>
              <fill>
                <patternFill>
                  <bgColor theme="0"/>
                </patternFill>
              </fill>
              <border>
                <vertical/>
                <horizontal/>
              </border>
            </x14:dxf>
          </x14:cfRule>
          <xm:sqref>N224</xm:sqref>
        </x14:conditionalFormatting>
        <x14:conditionalFormatting xmlns:xm="http://schemas.microsoft.com/office/excel/2006/main">
          <x14:cfRule type="expression" priority="4331" id="{3C90B44D-5A49-480C-AAEF-2497645946C8}">
            <xm:f>$S$8='Assessment Details'!$Q$23</xm:f>
            <x14:dxf>
              <border>
                <left style="thin">
                  <color theme="0"/>
                </left>
                <right style="thin">
                  <color theme="0"/>
                </right>
                <top style="thin">
                  <color theme="0"/>
                </top>
                <bottom style="thin">
                  <color theme="0"/>
                </bottom>
                <vertical/>
                <horizontal/>
              </border>
            </x14:dxf>
          </x14:cfRule>
          <xm:sqref>N224</xm:sqref>
        </x14:conditionalFormatting>
        <x14:conditionalFormatting xmlns:xm="http://schemas.microsoft.com/office/excel/2006/main">
          <x14:cfRule type="expression" priority="4330" id="{5F40EE38-1188-4DBF-AAA8-FD83D80F7088}">
            <xm:f>$Z$8='Assessment Details'!$Q$23</xm:f>
            <x14:dxf>
              <font>
                <color theme="0"/>
              </font>
              <fill>
                <patternFill>
                  <bgColor theme="0"/>
                </patternFill>
              </fill>
            </x14:dxf>
          </x14:cfRule>
          <xm:sqref>U224</xm:sqref>
        </x14:conditionalFormatting>
        <x14:conditionalFormatting xmlns:xm="http://schemas.microsoft.com/office/excel/2006/main">
          <x14:cfRule type="expression" priority="4329" id="{BD2D5A2E-1C75-476A-B6A3-98481EF96DC5}">
            <xm:f>$Z$8='Assessment Details'!$Q$23</xm:f>
            <x14:dxf>
              <border>
                <left style="thin">
                  <color theme="0"/>
                </left>
                <right style="thin">
                  <color theme="0"/>
                </right>
                <top style="thin">
                  <color theme="0"/>
                </top>
                <bottom style="thin">
                  <color theme="0"/>
                </bottom>
                <vertical/>
                <horizontal/>
              </border>
            </x14:dxf>
          </x14:cfRule>
          <xm:sqref>U224</xm:sqref>
        </x14:conditionalFormatting>
        <x14:conditionalFormatting xmlns:xm="http://schemas.microsoft.com/office/excel/2006/main">
          <x14:cfRule type="expression" priority="4312" id="{46247BBD-A873-4922-8750-3D09E8184D0D}">
            <xm:f>$S$8='Assessment Details'!$Q$23</xm:f>
            <x14:dxf>
              <font>
                <color theme="0"/>
              </font>
              <fill>
                <patternFill>
                  <bgColor theme="0"/>
                </patternFill>
              </fill>
              <border>
                <vertical/>
                <horizontal/>
              </border>
            </x14:dxf>
          </x14:cfRule>
          <xm:sqref>N225</xm:sqref>
        </x14:conditionalFormatting>
        <x14:conditionalFormatting xmlns:xm="http://schemas.microsoft.com/office/excel/2006/main">
          <x14:cfRule type="expression" priority="4311" id="{37C47E48-8E86-4D2F-AF4E-5484360E7AD9}">
            <xm:f>$S$8='Assessment Details'!$Q$23</xm:f>
            <x14:dxf>
              <border>
                <left style="thin">
                  <color theme="0"/>
                </left>
                <right style="thin">
                  <color theme="0"/>
                </right>
                <top style="thin">
                  <color theme="0"/>
                </top>
                <bottom style="thin">
                  <color theme="0"/>
                </bottom>
                <vertical/>
                <horizontal/>
              </border>
            </x14:dxf>
          </x14:cfRule>
          <xm:sqref>N225</xm:sqref>
        </x14:conditionalFormatting>
        <x14:conditionalFormatting xmlns:xm="http://schemas.microsoft.com/office/excel/2006/main">
          <x14:cfRule type="expression" priority="4310" id="{02418F47-1C4E-4E82-902A-C7E9C07A07DC}">
            <xm:f>$Z$8='Assessment Details'!$Q$23</xm:f>
            <x14:dxf>
              <font>
                <color theme="0"/>
              </font>
              <fill>
                <patternFill>
                  <bgColor theme="0"/>
                </patternFill>
              </fill>
            </x14:dxf>
          </x14:cfRule>
          <xm:sqref>U225</xm:sqref>
        </x14:conditionalFormatting>
        <x14:conditionalFormatting xmlns:xm="http://schemas.microsoft.com/office/excel/2006/main">
          <x14:cfRule type="expression" priority="4309" id="{1C3DBDD0-C41F-468D-843F-A3B47D9BCC0F}">
            <xm:f>$Z$8='Assessment Details'!$Q$23</xm:f>
            <x14:dxf>
              <border>
                <left style="thin">
                  <color theme="0"/>
                </left>
                <right style="thin">
                  <color theme="0"/>
                </right>
                <top style="thin">
                  <color theme="0"/>
                </top>
                <bottom style="thin">
                  <color theme="0"/>
                </bottom>
                <vertical/>
                <horizontal/>
              </border>
            </x14:dxf>
          </x14:cfRule>
          <xm:sqref>U225</xm:sqref>
        </x14:conditionalFormatting>
        <x14:conditionalFormatting xmlns:xm="http://schemas.microsoft.com/office/excel/2006/main">
          <x14:cfRule type="expression" priority="4292" id="{CD4EB85A-D7F1-43AC-8452-720AB857931A}">
            <xm:f>$S$8='Assessment Details'!$Q$23</xm:f>
            <x14:dxf>
              <font>
                <color theme="0"/>
              </font>
              <fill>
                <patternFill>
                  <bgColor theme="0"/>
                </patternFill>
              </fill>
              <border>
                <vertical/>
                <horizontal/>
              </border>
            </x14:dxf>
          </x14:cfRule>
          <xm:sqref>N226</xm:sqref>
        </x14:conditionalFormatting>
        <x14:conditionalFormatting xmlns:xm="http://schemas.microsoft.com/office/excel/2006/main">
          <x14:cfRule type="expression" priority="4291" id="{3DC3B8C6-7B5E-4404-976C-3A3832AD9D64}">
            <xm:f>$S$8='Assessment Details'!$Q$23</xm:f>
            <x14:dxf>
              <border>
                <left style="thin">
                  <color theme="0"/>
                </left>
                <right style="thin">
                  <color theme="0"/>
                </right>
                <top style="thin">
                  <color theme="0"/>
                </top>
                <bottom style="thin">
                  <color theme="0"/>
                </bottom>
                <vertical/>
                <horizontal/>
              </border>
            </x14:dxf>
          </x14:cfRule>
          <xm:sqref>N226</xm:sqref>
        </x14:conditionalFormatting>
        <x14:conditionalFormatting xmlns:xm="http://schemas.microsoft.com/office/excel/2006/main">
          <x14:cfRule type="expression" priority="4290" id="{BC251D69-11C2-4540-8D77-657BD1491065}">
            <xm:f>$Z$8='Assessment Details'!$Q$23</xm:f>
            <x14:dxf>
              <font>
                <color theme="0"/>
              </font>
              <fill>
                <patternFill>
                  <bgColor theme="0"/>
                </patternFill>
              </fill>
            </x14:dxf>
          </x14:cfRule>
          <xm:sqref>U226</xm:sqref>
        </x14:conditionalFormatting>
        <x14:conditionalFormatting xmlns:xm="http://schemas.microsoft.com/office/excel/2006/main">
          <x14:cfRule type="expression" priority="4289" id="{091DEED1-E318-4562-ACE6-E415E5633351}">
            <xm:f>$Z$8='Assessment Details'!$Q$23</xm:f>
            <x14:dxf>
              <border>
                <left style="thin">
                  <color theme="0"/>
                </left>
                <right style="thin">
                  <color theme="0"/>
                </right>
                <top style="thin">
                  <color theme="0"/>
                </top>
                <bottom style="thin">
                  <color theme="0"/>
                </bottom>
                <vertical/>
                <horizontal/>
              </border>
            </x14:dxf>
          </x14:cfRule>
          <xm:sqref>U226</xm:sqref>
        </x14:conditionalFormatting>
        <x14:conditionalFormatting xmlns:xm="http://schemas.microsoft.com/office/excel/2006/main">
          <x14:cfRule type="expression" priority="4270" id="{2B1EC8D9-8898-47AD-9A7F-C907B78FA3E3}">
            <xm:f>$Z$8='Assessment Details'!$Q$23</xm:f>
            <x14:dxf>
              <font>
                <color theme="0"/>
              </font>
              <fill>
                <patternFill>
                  <bgColor theme="0"/>
                </patternFill>
              </fill>
            </x14:dxf>
          </x14:cfRule>
          <xm:sqref>U257:Y257</xm:sqref>
        </x14:conditionalFormatting>
        <x14:conditionalFormatting xmlns:xm="http://schemas.microsoft.com/office/excel/2006/main">
          <x14:cfRule type="expression" priority="4269" id="{16217C15-98ED-40E1-9D3C-D8F9EAA14716}">
            <xm:f>$Z$8='Assessment Details'!$Q$23</xm:f>
            <x14:dxf>
              <border>
                <left style="thin">
                  <color theme="0"/>
                </left>
                <right style="thin">
                  <color theme="0"/>
                </right>
                <top style="thin">
                  <color theme="0"/>
                </top>
                <bottom style="thin">
                  <color theme="0"/>
                </bottom>
                <vertical/>
                <horizontal/>
              </border>
            </x14:dxf>
          </x14:cfRule>
          <xm:sqref>U257:Y257</xm:sqref>
        </x14:conditionalFormatting>
        <x14:conditionalFormatting xmlns:xm="http://schemas.microsoft.com/office/excel/2006/main">
          <x14:cfRule type="expression" priority="4246" id="{003CF9C3-5882-4AE5-9825-DD5F562997CA}">
            <xm:f>$Z$8='Assessment Details'!$Q$23</xm:f>
            <x14:dxf>
              <font>
                <color theme="0"/>
              </font>
              <fill>
                <patternFill>
                  <bgColor theme="0"/>
                </patternFill>
              </fill>
            </x14:dxf>
          </x14:cfRule>
          <xm:sqref>X238:Y238</xm:sqref>
        </x14:conditionalFormatting>
        <x14:conditionalFormatting xmlns:xm="http://schemas.microsoft.com/office/excel/2006/main">
          <x14:cfRule type="expression" priority="4245" id="{506DB9F6-CF47-4A3E-8BDC-0CF6F0FB1801}">
            <xm:f>$Z$8='Assessment Details'!$Q$23</xm:f>
            <x14:dxf>
              <border>
                <left style="thin">
                  <color theme="0"/>
                </left>
                <right style="thin">
                  <color theme="0"/>
                </right>
                <top style="thin">
                  <color theme="0"/>
                </top>
                <bottom style="thin">
                  <color theme="0"/>
                </bottom>
                <vertical/>
                <horizontal/>
              </border>
            </x14:dxf>
          </x14:cfRule>
          <xm:sqref>X238:Y238</xm:sqref>
        </x14:conditionalFormatting>
        <x14:conditionalFormatting xmlns:xm="http://schemas.microsoft.com/office/excel/2006/main">
          <x14:cfRule type="expression" priority="4240" id="{65CE01A1-5605-4EA8-9C68-7A192DC9BB8C}">
            <xm:f>$S$8='Assessment Details'!$Q$23</xm:f>
            <x14:dxf>
              <font>
                <color theme="0"/>
              </font>
              <fill>
                <patternFill>
                  <bgColor theme="0"/>
                </patternFill>
              </fill>
              <border>
                <vertical/>
                <horizontal/>
              </border>
            </x14:dxf>
          </x14:cfRule>
          <xm:sqref>N238:P238</xm:sqref>
        </x14:conditionalFormatting>
        <x14:conditionalFormatting xmlns:xm="http://schemas.microsoft.com/office/excel/2006/main">
          <x14:cfRule type="expression" priority="4239" id="{1E118A00-84A7-423B-BFC9-B87735183CA0}">
            <xm:f>$S$8='Assessment Details'!$Q$23</xm:f>
            <x14:dxf>
              <border>
                <left style="thin">
                  <color theme="0"/>
                </left>
                <right style="thin">
                  <color theme="0"/>
                </right>
                <top style="thin">
                  <color theme="0"/>
                </top>
                <bottom style="thin">
                  <color theme="0"/>
                </bottom>
                <vertical/>
                <horizontal/>
              </border>
            </x14:dxf>
          </x14:cfRule>
          <xm:sqref>N238:P238</xm:sqref>
        </x14:conditionalFormatting>
        <x14:conditionalFormatting xmlns:xm="http://schemas.microsoft.com/office/excel/2006/main">
          <x14:cfRule type="expression" priority="4236" id="{E03EFE18-FBBD-40FC-BDF3-34AF33D8729A}">
            <xm:f>$S$8='Assessment Details'!$Q$23</xm:f>
            <x14:dxf>
              <font>
                <color theme="0"/>
              </font>
              <fill>
                <patternFill>
                  <bgColor theme="0"/>
                </patternFill>
              </fill>
              <border>
                <vertical/>
                <horizontal/>
              </border>
            </x14:dxf>
          </x14:cfRule>
          <xm:sqref>U238:W238</xm:sqref>
        </x14:conditionalFormatting>
        <x14:conditionalFormatting xmlns:xm="http://schemas.microsoft.com/office/excel/2006/main">
          <x14:cfRule type="expression" priority="4235" id="{1B409915-313F-482D-9590-169533B82CE8}">
            <xm:f>$S$8='Assessment Details'!$Q$23</xm:f>
            <x14:dxf>
              <border>
                <left style="thin">
                  <color theme="0"/>
                </left>
                <right style="thin">
                  <color theme="0"/>
                </right>
                <top style="thin">
                  <color theme="0"/>
                </top>
                <bottom style="thin">
                  <color theme="0"/>
                </bottom>
                <vertical/>
                <horizontal/>
              </border>
            </x14:dxf>
          </x14:cfRule>
          <xm:sqref>U238:W238</xm:sqref>
        </x14:conditionalFormatting>
        <x14:conditionalFormatting xmlns:xm="http://schemas.microsoft.com/office/excel/2006/main">
          <x14:cfRule type="expression" priority="4215" id="{C23D9E8F-AD36-4F36-8873-6C2B93A98BF5}">
            <xm:f>$Z$8='Assessment Details'!$Q$23</xm:f>
            <x14:dxf>
              <font>
                <color theme="0"/>
              </font>
              <fill>
                <patternFill>
                  <bgColor theme="0"/>
                </patternFill>
              </fill>
            </x14:dxf>
          </x14:cfRule>
          <xm:sqref>X247:Y247</xm:sqref>
        </x14:conditionalFormatting>
        <x14:conditionalFormatting xmlns:xm="http://schemas.microsoft.com/office/excel/2006/main">
          <x14:cfRule type="expression" priority="4214" id="{9F798C84-7CB0-48B5-8C29-E9F67D86CAF5}">
            <xm:f>$Z$8='Assessment Details'!$Q$23</xm:f>
            <x14:dxf>
              <border>
                <left style="thin">
                  <color theme="0"/>
                </left>
                <right style="thin">
                  <color theme="0"/>
                </right>
                <top style="thin">
                  <color theme="0"/>
                </top>
                <bottom style="thin">
                  <color theme="0"/>
                </bottom>
                <vertical/>
                <horizontal/>
              </border>
            </x14:dxf>
          </x14:cfRule>
          <xm:sqref>X247:Y247</xm:sqref>
        </x14:conditionalFormatting>
        <x14:conditionalFormatting xmlns:xm="http://schemas.microsoft.com/office/excel/2006/main">
          <x14:cfRule type="expression" priority="4189" id="{8584CAA5-EBD7-42B8-9D58-8DBF5321B526}">
            <xm:f>$Z$8='Assessment Details'!$Q$23</xm:f>
            <x14:dxf>
              <font>
                <color theme="0"/>
              </font>
              <fill>
                <patternFill>
                  <bgColor theme="0"/>
                </patternFill>
              </fill>
            </x14:dxf>
          </x14:cfRule>
          <xm:sqref>U247:W247</xm:sqref>
        </x14:conditionalFormatting>
        <x14:conditionalFormatting xmlns:xm="http://schemas.microsoft.com/office/excel/2006/main">
          <x14:cfRule type="expression" priority="4188" id="{36D9EACB-D66B-4BD5-96E8-8BAC3D7006C4}">
            <xm:f>$Z$8='Assessment Details'!$Q$23</xm:f>
            <x14:dxf>
              <border>
                <left style="thin">
                  <color theme="0"/>
                </left>
                <right style="thin">
                  <color theme="0"/>
                </right>
                <top style="thin">
                  <color theme="0"/>
                </top>
                <bottom style="thin">
                  <color theme="0"/>
                </bottom>
                <vertical/>
                <horizontal/>
              </border>
            </x14:dxf>
          </x14:cfRule>
          <xm:sqref>U247:W247</xm:sqref>
        </x14:conditionalFormatting>
        <x14:conditionalFormatting xmlns:xm="http://schemas.microsoft.com/office/excel/2006/main">
          <x14:cfRule type="expression" priority="4178" id="{BD68F092-7696-4BAF-B97A-D33E8A53C89A}">
            <xm:f>$Z$8='Assessment Details'!$Q$23</xm:f>
            <x14:dxf>
              <font>
                <color theme="0"/>
              </font>
              <fill>
                <patternFill>
                  <bgColor theme="0"/>
                </patternFill>
              </fill>
            </x14:dxf>
          </x14:cfRule>
          <xm:sqref>U253:W253</xm:sqref>
        </x14:conditionalFormatting>
        <x14:conditionalFormatting xmlns:xm="http://schemas.microsoft.com/office/excel/2006/main">
          <x14:cfRule type="expression" priority="4177" id="{E90D7E1E-28DA-47D4-AABC-E60720466AF9}">
            <xm:f>$Z$8='Assessment Details'!$Q$23</xm:f>
            <x14:dxf>
              <border>
                <left style="thin">
                  <color theme="0"/>
                </left>
                <right style="thin">
                  <color theme="0"/>
                </right>
                <top style="thin">
                  <color theme="0"/>
                </top>
                <bottom style="thin">
                  <color theme="0"/>
                </bottom>
                <vertical/>
                <horizontal/>
              </border>
            </x14:dxf>
          </x14:cfRule>
          <xm:sqref>U253:W253</xm:sqref>
        </x14:conditionalFormatting>
        <x14:conditionalFormatting xmlns:xm="http://schemas.microsoft.com/office/excel/2006/main">
          <x14:cfRule type="expression" priority="4159" id="{4B51EF7C-4C0C-4E96-BBDD-2D04B5CAC58C}">
            <xm:f>$Z$8='Assessment Details'!$Q$23</xm:f>
            <x14:dxf>
              <font>
                <color theme="0"/>
              </font>
              <fill>
                <patternFill>
                  <bgColor theme="0"/>
                </patternFill>
              </fill>
            </x14:dxf>
          </x14:cfRule>
          <xm:sqref>X248:Y248</xm:sqref>
        </x14:conditionalFormatting>
        <x14:conditionalFormatting xmlns:xm="http://schemas.microsoft.com/office/excel/2006/main">
          <x14:cfRule type="expression" priority="4158" id="{F4CA5879-5898-4CE4-B06A-915C45E07AED}">
            <xm:f>$Z$8='Assessment Details'!$Q$23</xm:f>
            <x14:dxf>
              <border>
                <left style="thin">
                  <color theme="0"/>
                </left>
                <right style="thin">
                  <color theme="0"/>
                </right>
                <top style="thin">
                  <color theme="0"/>
                </top>
                <bottom style="thin">
                  <color theme="0"/>
                </bottom>
                <vertical/>
                <horizontal/>
              </border>
            </x14:dxf>
          </x14:cfRule>
          <xm:sqref>X248:Y248</xm:sqref>
        </x14:conditionalFormatting>
        <x14:conditionalFormatting xmlns:xm="http://schemas.microsoft.com/office/excel/2006/main">
          <x14:cfRule type="expression" priority="4139" id="{1863681A-C5A6-469C-9BF7-D98DE7D964C1}">
            <xm:f>$Z$8='Assessment Details'!$Q$23</xm:f>
            <x14:dxf>
              <font>
                <color theme="0"/>
              </font>
              <fill>
                <patternFill>
                  <bgColor theme="0"/>
                </patternFill>
              </fill>
            </x14:dxf>
          </x14:cfRule>
          <xm:sqref>U248:W248</xm:sqref>
        </x14:conditionalFormatting>
        <x14:conditionalFormatting xmlns:xm="http://schemas.microsoft.com/office/excel/2006/main">
          <x14:cfRule type="expression" priority="4138" id="{E733F3F7-9EE8-48C1-A76B-CE9B4A611C8F}">
            <xm:f>$Z$8='Assessment Details'!$Q$23</xm:f>
            <x14:dxf>
              <border>
                <left style="thin">
                  <color theme="0"/>
                </left>
                <right style="thin">
                  <color theme="0"/>
                </right>
                <top style="thin">
                  <color theme="0"/>
                </top>
                <bottom style="thin">
                  <color theme="0"/>
                </bottom>
                <vertical/>
                <horizontal/>
              </border>
            </x14:dxf>
          </x14:cfRule>
          <xm:sqref>U248:W248</xm:sqref>
        </x14:conditionalFormatting>
        <x14:conditionalFormatting xmlns:xm="http://schemas.microsoft.com/office/excel/2006/main">
          <x14:cfRule type="expression" priority="4128" id="{DDEF0701-07C5-4E7E-8FD2-669EF36B4A6C}">
            <xm:f>$Z$8='Assessment Details'!$Q$23</xm:f>
            <x14:dxf>
              <font>
                <color theme="0"/>
              </font>
              <fill>
                <patternFill>
                  <bgColor theme="0"/>
                </patternFill>
              </fill>
            </x14:dxf>
          </x14:cfRule>
          <xm:sqref>X250:Y250</xm:sqref>
        </x14:conditionalFormatting>
        <x14:conditionalFormatting xmlns:xm="http://schemas.microsoft.com/office/excel/2006/main">
          <x14:cfRule type="expression" priority="4127" id="{6AA86BA3-135E-4FD5-AE20-0C1DD4832BF4}">
            <xm:f>$Z$8='Assessment Details'!$Q$23</xm:f>
            <x14:dxf>
              <border>
                <left style="thin">
                  <color theme="0"/>
                </left>
                <right style="thin">
                  <color theme="0"/>
                </right>
                <top style="thin">
                  <color theme="0"/>
                </top>
                <bottom style="thin">
                  <color theme="0"/>
                </bottom>
                <vertical/>
                <horizontal/>
              </border>
            </x14:dxf>
          </x14:cfRule>
          <xm:sqref>X250:Y250</xm:sqref>
        </x14:conditionalFormatting>
        <x14:conditionalFormatting xmlns:xm="http://schemas.microsoft.com/office/excel/2006/main">
          <x14:cfRule type="expression" priority="4113" id="{D7772031-3012-43A4-9FDA-021CF7E6AC75}">
            <xm:f>$Z$8='Assessment Details'!$Q$23</xm:f>
            <x14:dxf>
              <font>
                <color theme="0"/>
              </font>
              <fill>
                <patternFill>
                  <bgColor theme="0"/>
                </patternFill>
              </fill>
            </x14:dxf>
          </x14:cfRule>
          <xm:sqref>U250:W250</xm:sqref>
        </x14:conditionalFormatting>
        <x14:conditionalFormatting xmlns:xm="http://schemas.microsoft.com/office/excel/2006/main">
          <x14:cfRule type="expression" priority="4112" id="{284B85CE-0DE8-4D71-A1D7-56A9956F500E}">
            <xm:f>$Z$8='Assessment Details'!$Q$23</xm:f>
            <x14:dxf>
              <border>
                <left style="thin">
                  <color theme="0"/>
                </left>
                <right style="thin">
                  <color theme="0"/>
                </right>
                <top style="thin">
                  <color theme="0"/>
                </top>
                <bottom style="thin">
                  <color theme="0"/>
                </bottom>
                <vertical/>
                <horizontal/>
              </border>
            </x14:dxf>
          </x14:cfRule>
          <xm:sqref>U250:W250</xm:sqref>
        </x14:conditionalFormatting>
        <x14:conditionalFormatting xmlns:xm="http://schemas.microsoft.com/office/excel/2006/main">
          <x14:cfRule type="expression" priority="4102" id="{089B1A5E-D6F8-4926-BCCD-A2B7E5A02655}">
            <xm:f>$Z$8='Assessment Details'!$Q$23</xm:f>
            <x14:dxf>
              <font>
                <color theme="0"/>
              </font>
              <fill>
                <patternFill>
                  <bgColor theme="0"/>
                </patternFill>
              </fill>
            </x14:dxf>
          </x14:cfRule>
          <xm:sqref>X254:Y254</xm:sqref>
        </x14:conditionalFormatting>
        <x14:conditionalFormatting xmlns:xm="http://schemas.microsoft.com/office/excel/2006/main">
          <x14:cfRule type="expression" priority="4101" id="{2E73FD9D-0124-4E9A-BBF1-07A3CE176EEC}">
            <xm:f>$Z$8='Assessment Details'!$Q$23</xm:f>
            <x14:dxf>
              <border>
                <left style="thin">
                  <color theme="0"/>
                </left>
                <right style="thin">
                  <color theme="0"/>
                </right>
                <top style="thin">
                  <color theme="0"/>
                </top>
                <bottom style="thin">
                  <color theme="0"/>
                </bottom>
                <vertical/>
                <horizontal/>
              </border>
            </x14:dxf>
          </x14:cfRule>
          <xm:sqref>X254:Y254</xm:sqref>
        </x14:conditionalFormatting>
        <x14:conditionalFormatting xmlns:xm="http://schemas.microsoft.com/office/excel/2006/main">
          <x14:cfRule type="expression" priority="4087" id="{3E1A5667-438E-4E2D-A819-A6E789848E50}">
            <xm:f>$Z$8='Assessment Details'!$Q$23</xm:f>
            <x14:dxf>
              <font>
                <color theme="0"/>
              </font>
              <fill>
                <patternFill>
                  <bgColor theme="0"/>
                </patternFill>
              </fill>
            </x14:dxf>
          </x14:cfRule>
          <xm:sqref>U254:W254</xm:sqref>
        </x14:conditionalFormatting>
        <x14:conditionalFormatting xmlns:xm="http://schemas.microsoft.com/office/excel/2006/main">
          <x14:cfRule type="expression" priority="4086" id="{548FE308-7257-4041-A67A-44E3146350BC}">
            <xm:f>$Z$8='Assessment Details'!$Q$23</xm:f>
            <x14:dxf>
              <border>
                <left style="thin">
                  <color theme="0"/>
                </left>
                <right style="thin">
                  <color theme="0"/>
                </right>
                <top style="thin">
                  <color theme="0"/>
                </top>
                <bottom style="thin">
                  <color theme="0"/>
                </bottom>
                <vertical/>
                <horizontal/>
              </border>
            </x14:dxf>
          </x14:cfRule>
          <xm:sqref>U254:W254</xm:sqref>
        </x14:conditionalFormatting>
        <x14:conditionalFormatting xmlns:xm="http://schemas.microsoft.com/office/excel/2006/main">
          <x14:cfRule type="expression" priority="4068" id="{40A6C918-0285-4793-B4C0-2A0509B70D59}">
            <xm:f>$Z$8='Assessment Details'!$Q$23</xm:f>
            <x14:dxf>
              <font>
                <color theme="0"/>
              </font>
              <fill>
                <patternFill>
                  <bgColor theme="0"/>
                </patternFill>
              </fill>
            </x14:dxf>
          </x14:cfRule>
          <xm:sqref>X261:Y261</xm:sqref>
        </x14:conditionalFormatting>
        <x14:conditionalFormatting xmlns:xm="http://schemas.microsoft.com/office/excel/2006/main">
          <x14:cfRule type="expression" priority="4067" id="{8030EB4F-35E3-4365-929E-A938099568DB}">
            <xm:f>$Z$8='Assessment Details'!$Q$23</xm:f>
            <x14:dxf>
              <border>
                <left style="thin">
                  <color theme="0"/>
                </left>
                <right style="thin">
                  <color theme="0"/>
                </right>
                <top style="thin">
                  <color theme="0"/>
                </top>
                <bottom style="thin">
                  <color theme="0"/>
                </bottom>
                <vertical/>
                <horizontal/>
              </border>
            </x14:dxf>
          </x14:cfRule>
          <xm:sqref>X261:Y261</xm:sqref>
        </x14:conditionalFormatting>
        <x14:conditionalFormatting xmlns:xm="http://schemas.microsoft.com/office/excel/2006/main">
          <x14:cfRule type="expression" priority="4048" id="{70461200-1D86-4E38-AFA9-416F4C9719C2}">
            <xm:f>$Z$8='Assessment Details'!$Q$23</xm:f>
            <x14:dxf>
              <font>
                <color theme="0"/>
              </font>
              <fill>
                <patternFill>
                  <bgColor theme="0"/>
                </patternFill>
              </fill>
            </x14:dxf>
          </x14:cfRule>
          <xm:sqref>U261:W261</xm:sqref>
        </x14:conditionalFormatting>
        <x14:conditionalFormatting xmlns:xm="http://schemas.microsoft.com/office/excel/2006/main">
          <x14:cfRule type="expression" priority="4047" id="{3254B1F7-7614-4BEA-A0E0-0BC3006B01C7}">
            <xm:f>$Z$8='Assessment Details'!$Q$23</xm:f>
            <x14:dxf>
              <border>
                <left style="thin">
                  <color theme="0"/>
                </left>
                <right style="thin">
                  <color theme="0"/>
                </right>
                <top style="thin">
                  <color theme="0"/>
                </top>
                <bottom style="thin">
                  <color theme="0"/>
                </bottom>
                <vertical/>
                <horizontal/>
              </border>
            </x14:dxf>
          </x14:cfRule>
          <xm:sqref>U261:W261</xm:sqref>
        </x14:conditionalFormatting>
        <x14:conditionalFormatting xmlns:xm="http://schemas.microsoft.com/office/excel/2006/main">
          <x14:cfRule type="expression" priority="4035" id="{D6A69441-03E9-4327-8284-0BDA0464EEB2}">
            <xm:f>$Z$8='Assessment Details'!$Q$23</xm:f>
            <x14:dxf>
              <font>
                <color theme="0"/>
              </font>
              <fill>
                <patternFill>
                  <bgColor theme="0"/>
                </patternFill>
              </fill>
            </x14:dxf>
          </x14:cfRule>
          <xm:sqref>X256:Y256</xm:sqref>
        </x14:conditionalFormatting>
        <x14:conditionalFormatting xmlns:xm="http://schemas.microsoft.com/office/excel/2006/main">
          <x14:cfRule type="expression" priority="4034" id="{BAD3BC7F-0FB0-48CA-B45D-D3FDD9803F43}">
            <xm:f>$Z$8='Assessment Details'!$Q$23</xm:f>
            <x14:dxf>
              <border>
                <left style="thin">
                  <color theme="0"/>
                </left>
                <right style="thin">
                  <color theme="0"/>
                </right>
                <top style="thin">
                  <color theme="0"/>
                </top>
                <bottom style="thin">
                  <color theme="0"/>
                </bottom>
                <vertical/>
                <horizontal/>
              </border>
            </x14:dxf>
          </x14:cfRule>
          <xm:sqref>X256:Y256</xm:sqref>
        </x14:conditionalFormatting>
        <x14:conditionalFormatting xmlns:xm="http://schemas.microsoft.com/office/excel/2006/main">
          <x14:cfRule type="expression" priority="4023" id="{05CD3DBD-1D3C-47C4-979A-3B6551DB1F7B}">
            <xm:f>$Z$8='Assessment Details'!$Q$23</xm:f>
            <x14:dxf>
              <font>
                <color theme="0"/>
              </font>
              <fill>
                <patternFill>
                  <bgColor theme="0"/>
                </patternFill>
              </fill>
            </x14:dxf>
          </x14:cfRule>
          <xm:sqref>U256:W256</xm:sqref>
        </x14:conditionalFormatting>
        <x14:conditionalFormatting xmlns:xm="http://schemas.microsoft.com/office/excel/2006/main">
          <x14:cfRule type="expression" priority="4022" id="{E2809547-3D6A-400D-A44D-0B08F3FA074E}">
            <xm:f>$Z$8='Assessment Details'!$Q$23</xm:f>
            <x14:dxf>
              <border>
                <left style="thin">
                  <color theme="0"/>
                </left>
                <right style="thin">
                  <color theme="0"/>
                </right>
                <top style="thin">
                  <color theme="0"/>
                </top>
                <bottom style="thin">
                  <color theme="0"/>
                </bottom>
                <vertical/>
                <horizontal/>
              </border>
            </x14:dxf>
          </x14:cfRule>
          <xm:sqref>U256:W256</xm:sqref>
        </x14:conditionalFormatting>
        <x14:conditionalFormatting xmlns:xm="http://schemas.microsoft.com/office/excel/2006/main">
          <x14:cfRule type="expression" priority="4001" id="{399F52E0-54B9-42D8-B324-B9E504AB42A4}">
            <xm:f>$Z$8='Assessment Details'!$Q$23</xm:f>
            <x14:dxf>
              <font>
                <color theme="0"/>
              </font>
              <fill>
                <patternFill>
                  <bgColor theme="0"/>
                </patternFill>
              </fill>
            </x14:dxf>
          </x14:cfRule>
          <xm:sqref>U259:Y259</xm:sqref>
        </x14:conditionalFormatting>
        <x14:conditionalFormatting xmlns:xm="http://schemas.microsoft.com/office/excel/2006/main">
          <x14:cfRule type="expression" priority="4000" id="{AF88DC5A-E5BA-44F0-AA24-E74C2F4C750A}">
            <xm:f>$Z$8='Assessment Details'!$Q$23</xm:f>
            <x14:dxf>
              <border>
                <left style="thin">
                  <color theme="0"/>
                </left>
                <right style="thin">
                  <color theme="0"/>
                </right>
                <top style="thin">
                  <color theme="0"/>
                </top>
                <bottom style="thin">
                  <color theme="0"/>
                </bottom>
                <vertical/>
                <horizontal/>
              </border>
            </x14:dxf>
          </x14:cfRule>
          <xm:sqref>U259:Y259</xm:sqref>
        </x14:conditionalFormatting>
        <x14:conditionalFormatting xmlns:xm="http://schemas.microsoft.com/office/excel/2006/main">
          <x14:cfRule type="expression" priority="3979" id="{8171F4EA-E567-40FF-BC0B-6FCFBEC7F2DA}">
            <xm:f>$Z$8='Assessment Details'!$Q$23</xm:f>
            <x14:dxf>
              <font>
                <color theme="0"/>
              </font>
              <fill>
                <patternFill>
                  <bgColor theme="0"/>
                </patternFill>
              </fill>
            </x14:dxf>
          </x14:cfRule>
          <xm:sqref>U260:Y260</xm:sqref>
        </x14:conditionalFormatting>
        <x14:conditionalFormatting xmlns:xm="http://schemas.microsoft.com/office/excel/2006/main">
          <x14:cfRule type="expression" priority="3978" id="{666DDFF4-B863-47FE-ABF9-E2EE77E7729D}">
            <xm:f>$Z$8='Assessment Details'!$Q$23</xm:f>
            <x14:dxf>
              <border>
                <left style="thin">
                  <color theme="0"/>
                </left>
                <right style="thin">
                  <color theme="0"/>
                </right>
                <top style="thin">
                  <color theme="0"/>
                </top>
                <bottom style="thin">
                  <color theme="0"/>
                </bottom>
                <vertical/>
                <horizontal/>
              </border>
            </x14:dxf>
          </x14:cfRule>
          <xm:sqref>U260:Y260</xm:sqref>
        </x14:conditionalFormatting>
        <x14:conditionalFormatting xmlns:xm="http://schemas.microsoft.com/office/excel/2006/main">
          <x14:cfRule type="expression" priority="2875" id="{80841CB3-12D6-444D-9765-69377C98ED5F}">
            <xm:f>$S$8='Assessment Details'!$Q$23</xm:f>
            <x14:dxf>
              <font>
                <color theme="0"/>
              </font>
              <fill>
                <patternFill>
                  <bgColor theme="0"/>
                </patternFill>
              </fill>
              <border>
                <vertical/>
                <horizontal/>
              </border>
            </x14:dxf>
          </x14:cfRule>
          <xm:sqref>Q124:R124</xm:sqref>
        </x14:conditionalFormatting>
        <x14:conditionalFormatting xmlns:xm="http://schemas.microsoft.com/office/excel/2006/main">
          <x14:cfRule type="expression" priority="2874" id="{D2A6FA7D-D45E-40B6-94FC-90EE7AF965AF}">
            <xm:f>$S$8='Assessment Details'!$Q$23</xm:f>
            <x14:dxf>
              <border>
                <left style="thin">
                  <color theme="0"/>
                </left>
                <right style="thin">
                  <color theme="0"/>
                </right>
                <top style="thin">
                  <color theme="0"/>
                </top>
                <bottom style="thin">
                  <color theme="0"/>
                </bottom>
                <vertical/>
                <horizontal/>
              </border>
            </x14:dxf>
          </x14:cfRule>
          <xm:sqref>Q124:R124</xm:sqref>
        </x14:conditionalFormatting>
        <x14:conditionalFormatting xmlns:xm="http://schemas.microsoft.com/office/excel/2006/main">
          <x14:cfRule type="expression" priority="3753" id="{E7CFFBBB-3569-40FC-B86F-169605FB321A}">
            <xm:f>$Z$8='Assessment Details'!$Q$23</xm:f>
            <x14:dxf>
              <font>
                <color theme="0"/>
              </font>
              <fill>
                <patternFill>
                  <bgColor theme="0"/>
                </patternFill>
              </fill>
            </x14:dxf>
          </x14:cfRule>
          <xm:sqref>X249:Y249</xm:sqref>
        </x14:conditionalFormatting>
        <x14:conditionalFormatting xmlns:xm="http://schemas.microsoft.com/office/excel/2006/main">
          <x14:cfRule type="expression" priority="3752" id="{8A0C0AF9-9023-4533-9251-9341D84C35AF}">
            <xm:f>$Z$8='Assessment Details'!$Q$23</xm:f>
            <x14:dxf>
              <border>
                <left style="thin">
                  <color theme="0"/>
                </left>
                <right style="thin">
                  <color theme="0"/>
                </right>
                <top style="thin">
                  <color theme="0"/>
                </top>
                <bottom style="thin">
                  <color theme="0"/>
                </bottom>
                <vertical/>
                <horizontal/>
              </border>
            </x14:dxf>
          </x14:cfRule>
          <xm:sqref>X249:Y249</xm:sqref>
        </x14:conditionalFormatting>
        <x14:conditionalFormatting xmlns:xm="http://schemas.microsoft.com/office/excel/2006/main">
          <x14:cfRule type="expression" priority="3746" id="{0DCA768C-2245-43CB-B02B-B6C8672CA3A2}">
            <xm:f>$S$8='Assessment Details'!$Q$23</xm:f>
            <x14:dxf>
              <font>
                <color theme="0"/>
              </font>
              <fill>
                <patternFill>
                  <bgColor theme="0"/>
                </patternFill>
              </fill>
              <border>
                <vertical/>
                <horizontal/>
              </border>
            </x14:dxf>
          </x14:cfRule>
          <xm:sqref>N249:R249</xm:sqref>
        </x14:conditionalFormatting>
        <x14:conditionalFormatting xmlns:xm="http://schemas.microsoft.com/office/excel/2006/main">
          <x14:cfRule type="expression" priority="3745" id="{7E49C1AA-37D9-4981-8ADB-7C269B2ECAE3}">
            <xm:f>$S$8='Assessment Details'!$Q$23</xm:f>
            <x14:dxf>
              <border>
                <left style="thin">
                  <color theme="0"/>
                </left>
                <right style="thin">
                  <color theme="0"/>
                </right>
                <top style="thin">
                  <color theme="0"/>
                </top>
                <bottom style="thin">
                  <color theme="0"/>
                </bottom>
                <vertical/>
                <horizontal/>
              </border>
            </x14:dxf>
          </x14:cfRule>
          <xm:sqref>N249:R249</xm:sqref>
        </x14:conditionalFormatting>
        <x14:conditionalFormatting xmlns:xm="http://schemas.microsoft.com/office/excel/2006/main">
          <x14:cfRule type="expression" priority="3744" id="{77D1E0B0-30DF-4C79-9789-3D9EF437F938}">
            <xm:f>$Z$8='Assessment Details'!$Q$23</xm:f>
            <x14:dxf>
              <font>
                <color theme="0"/>
              </font>
              <fill>
                <patternFill>
                  <bgColor theme="0"/>
                </patternFill>
              </fill>
            </x14:dxf>
          </x14:cfRule>
          <xm:sqref>U249:W249</xm:sqref>
        </x14:conditionalFormatting>
        <x14:conditionalFormatting xmlns:xm="http://schemas.microsoft.com/office/excel/2006/main">
          <x14:cfRule type="expression" priority="3743" id="{3612A464-E812-4286-B9F5-C19F3242B82C}">
            <xm:f>$Z$8='Assessment Details'!$Q$23</xm:f>
            <x14:dxf>
              <border>
                <left style="thin">
                  <color theme="0"/>
                </left>
                <right style="thin">
                  <color theme="0"/>
                </right>
                <top style="thin">
                  <color theme="0"/>
                </top>
                <bottom style="thin">
                  <color theme="0"/>
                </bottom>
                <vertical/>
                <horizontal/>
              </border>
            </x14:dxf>
          </x14:cfRule>
          <xm:sqref>U249:W249</xm:sqref>
        </x14:conditionalFormatting>
        <x14:conditionalFormatting xmlns:xm="http://schemas.microsoft.com/office/excel/2006/main">
          <x14:cfRule type="expression" priority="3741" id="{B4E5A23B-2AC0-4018-8372-E7EB8F6F5B77}">
            <xm:f>$F$250='Assessment Details'!$O$61</xm:f>
            <x14:dxf>
              <font>
                <color theme="0" tint="-0.14996795556505021"/>
              </font>
              <fill>
                <patternFill>
                  <bgColor theme="0" tint="-0.14996795556505021"/>
                </patternFill>
              </fill>
            </x14:dxf>
          </x14:cfRule>
          <xm:sqref>G250:L250 N250:S250 U250:Z250</xm:sqref>
        </x14:conditionalFormatting>
        <x14:conditionalFormatting xmlns:xm="http://schemas.microsoft.com/office/excel/2006/main">
          <x14:cfRule type="expression" priority="3699" id="{B2A039A1-D851-4728-8BCC-C7A2C4697CC8}">
            <xm:f>$S$8='Assessment Details'!$Q$23</xm:f>
            <x14:dxf>
              <font>
                <color theme="0"/>
              </font>
              <fill>
                <patternFill>
                  <bgColor theme="0"/>
                </patternFill>
              </fill>
              <border>
                <vertical/>
                <horizontal/>
              </border>
            </x14:dxf>
          </x14:cfRule>
          <xm:sqref>N17</xm:sqref>
        </x14:conditionalFormatting>
        <x14:conditionalFormatting xmlns:xm="http://schemas.microsoft.com/office/excel/2006/main">
          <x14:cfRule type="expression" priority="3698" id="{1D0E6FE4-8490-4A67-82D9-62018F5C6FBC}">
            <xm:f>$S$8='Assessment Details'!$Q$23</xm:f>
            <x14:dxf>
              <border>
                <left style="thin">
                  <color theme="0"/>
                </left>
                <right style="thin">
                  <color theme="0"/>
                </right>
                <top style="thin">
                  <color theme="0"/>
                </top>
                <bottom style="thin">
                  <color theme="0"/>
                </bottom>
                <vertical/>
                <horizontal/>
              </border>
            </x14:dxf>
          </x14:cfRule>
          <xm:sqref>N17</xm:sqref>
        </x14:conditionalFormatting>
        <x14:conditionalFormatting xmlns:xm="http://schemas.microsoft.com/office/excel/2006/main">
          <x14:cfRule type="expression" priority="3697" id="{A8F52E86-B17B-4813-BACC-90329C5333C7}">
            <xm:f>$Z$8='Assessment Details'!$Q$23</xm:f>
            <x14:dxf>
              <font>
                <color theme="0"/>
              </font>
              <fill>
                <patternFill>
                  <bgColor theme="0"/>
                </patternFill>
              </fill>
            </x14:dxf>
          </x14:cfRule>
          <xm:sqref>X17:Y17</xm:sqref>
        </x14:conditionalFormatting>
        <x14:conditionalFormatting xmlns:xm="http://schemas.microsoft.com/office/excel/2006/main">
          <x14:cfRule type="expression" priority="3696" id="{C924779E-9290-4A27-B28A-4C2853714569}">
            <xm:f>$Z$8='Assessment Details'!$Q$23</xm:f>
            <x14:dxf>
              <border>
                <left style="thin">
                  <color theme="0"/>
                </left>
                <right style="thin">
                  <color theme="0"/>
                </right>
                <top style="thin">
                  <color theme="0"/>
                </top>
                <bottom style="thin">
                  <color theme="0"/>
                </bottom>
                <vertical/>
                <horizontal/>
              </border>
            </x14:dxf>
          </x14:cfRule>
          <xm:sqref>X17:Y17</xm:sqref>
        </x14:conditionalFormatting>
        <x14:conditionalFormatting xmlns:xm="http://schemas.microsoft.com/office/excel/2006/main">
          <x14:cfRule type="expression" priority="3683" id="{0975EA98-A6B0-4FB4-89FD-ABC68E857A76}">
            <xm:f>$S$8='Assessment Details'!$Q$23</xm:f>
            <x14:dxf>
              <font>
                <color theme="0"/>
              </font>
              <fill>
                <patternFill>
                  <bgColor theme="0"/>
                </patternFill>
              </fill>
              <border>
                <vertical/>
                <horizontal/>
              </border>
            </x14:dxf>
          </x14:cfRule>
          <xm:sqref>N16</xm:sqref>
        </x14:conditionalFormatting>
        <x14:conditionalFormatting xmlns:xm="http://schemas.microsoft.com/office/excel/2006/main">
          <x14:cfRule type="expression" priority="3682" id="{51B0884B-F3B3-485D-A377-BA31E4BFC38C}">
            <xm:f>$S$8='Assessment Details'!$Q$23</xm:f>
            <x14:dxf>
              <border>
                <left style="thin">
                  <color theme="0"/>
                </left>
                <right style="thin">
                  <color theme="0"/>
                </right>
                <top style="thin">
                  <color theme="0"/>
                </top>
                <bottom style="thin">
                  <color theme="0"/>
                </bottom>
                <vertical/>
                <horizontal/>
              </border>
            </x14:dxf>
          </x14:cfRule>
          <xm:sqref>N16</xm:sqref>
        </x14:conditionalFormatting>
        <x14:conditionalFormatting xmlns:xm="http://schemas.microsoft.com/office/excel/2006/main">
          <x14:cfRule type="expression" priority="3667" id="{468AF6F7-56DB-4F16-8090-E324B4BC1CB5}">
            <xm:f>$S$8='Assessment Details'!$Q$23</xm:f>
            <x14:dxf>
              <font>
                <color theme="0"/>
              </font>
              <fill>
                <patternFill>
                  <bgColor theme="0"/>
                </patternFill>
              </fill>
              <border>
                <vertical/>
                <horizontal/>
              </border>
            </x14:dxf>
          </x14:cfRule>
          <xm:sqref>N15</xm:sqref>
        </x14:conditionalFormatting>
        <x14:conditionalFormatting xmlns:xm="http://schemas.microsoft.com/office/excel/2006/main">
          <x14:cfRule type="expression" priority="3666" id="{0ED21D60-7F57-40CB-AFB5-03C0E88A0C43}">
            <xm:f>$S$8='Assessment Details'!$Q$23</xm:f>
            <x14:dxf>
              <border>
                <left style="thin">
                  <color theme="0"/>
                </left>
                <right style="thin">
                  <color theme="0"/>
                </right>
                <top style="thin">
                  <color theme="0"/>
                </top>
                <bottom style="thin">
                  <color theme="0"/>
                </bottom>
                <vertical/>
                <horizontal/>
              </border>
            </x14:dxf>
          </x14:cfRule>
          <xm:sqref>N15</xm:sqref>
        </x14:conditionalFormatting>
        <x14:conditionalFormatting xmlns:xm="http://schemas.microsoft.com/office/excel/2006/main">
          <x14:cfRule type="expression" priority="3665" id="{0ABD4199-2B67-4DF4-BEA2-9B0700098AD8}">
            <xm:f>$Z$8='Assessment Details'!$Q$23</xm:f>
            <x14:dxf>
              <font>
                <color theme="0"/>
              </font>
              <fill>
                <patternFill>
                  <bgColor theme="0"/>
                </patternFill>
              </fill>
            </x14:dxf>
          </x14:cfRule>
          <xm:sqref>X15:Y15</xm:sqref>
        </x14:conditionalFormatting>
        <x14:conditionalFormatting xmlns:xm="http://schemas.microsoft.com/office/excel/2006/main">
          <x14:cfRule type="expression" priority="3664" id="{6E943F80-0B7D-4DD0-AF45-FF5E85C0374A}">
            <xm:f>$Z$8='Assessment Details'!$Q$23</xm:f>
            <x14:dxf>
              <border>
                <left style="thin">
                  <color theme="0"/>
                </left>
                <right style="thin">
                  <color theme="0"/>
                </right>
                <top style="thin">
                  <color theme="0"/>
                </top>
                <bottom style="thin">
                  <color theme="0"/>
                </bottom>
                <vertical/>
                <horizontal/>
              </border>
            </x14:dxf>
          </x14:cfRule>
          <xm:sqref>X15:Y15</xm:sqref>
        </x14:conditionalFormatting>
        <x14:conditionalFormatting xmlns:xm="http://schemas.microsoft.com/office/excel/2006/main">
          <x14:cfRule type="expression" priority="3651" id="{14597087-9990-434C-ABBB-77168106030A}">
            <xm:f>$S$8='Assessment Details'!$Q$23</xm:f>
            <x14:dxf>
              <font>
                <color theme="0"/>
              </font>
              <fill>
                <patternFill>
                  <bgColor theme="0"/>
                </patternFill>
              </fill>
              <border>
                <vertical/>
                <horizontal/>
              </border>
            </x14:dxf>
          </x14:cfRule>
          <xm:sqref>N13:N14</xm:sqref>
        </x14:conditionalFormatting>
        <x14:conditionalFormatting xmlns:xm="http://schemas.microsoft.com/office/excel/2006/main">
          <x14:cfRule type="expression" priority="3650" id="{3F81F4DE-432F-45BF-B35D-477F2CEC5F77}">
            <xm:f>$S$8='Assessment Details'!$Q$23</xm:f>
            <x14:dxf>
              <border>
                <left style="thin">
                  <color theme="0"/>
                </left>
                <right style="thin">
                  <color theme="0"/>
                </right>
                <top style="thin">
                  <color theme="0"/>
                </top>
                <bottom style="thin">
                  <color theme="0"/>
                </bottom>
                <vertical/>
                <horizontal/>
              </border>
            </x14:dxf>
          </x14:cfRule>
          <xm:sqref>N13:N14</xm:sqref>
        </x14:conditionalFormatting>
        <x14:conditionalFormatting xmlns:xm="http://schemas.microsoft.com/office/excel/2006/main">
          <x14:cfRule type="expression" priority="3649" id="{0691244B-CCBF-4F9B-B010-682E899A44C9}">
            <xm:f>$Z$8='Assessment Details'!$Q$23</xm:f>
            <x14:dxf>
              <font>
                <color theme="0"/>
              </font>
              <fill>
                <patternFill>
                  <bgColor theme="0"/>
                </patternFill>
              </fill>
            </x14:dxf>
          </x14:cfRule>
          <xm:sqref>X13:Y14</xm:sqref>
        </x14:conditionalFormatting>
        <x14:conditionalFormatting xmlns:xm="http://schemas.microsoft.com/office/excel/2006/main">
          <x14:cfRule type="expression" priority="3648" id="{49F6A36B-037D-4ED3-A4E3-CE2698BA69BB}">
            <xm:f>$Z$8='Assessment Details'!$Q$23</xm:f>
            <x14:dxf>
              <border>
                <left style="thin">
                  <color theme="0"/>
                </left>
                <right style="thin">
                  <color theme="0"/>
                </right>
                <top style="thin">
                  <color theme="0"/>
                </top>
                <bottom style="thin">
                  <color theme="0"/>
                </bottom>
                <vertical/>
                <horizontal/>
              </border>
            </x14:dxf>
          </x14:cfRule>
          <xm:sqref>X13:Y14</xm:sqref>
        </x14:conditionalFormatting>
        <x14:conditionalFormatting xmlns:xm="http://schemas.microsoft.com/office/excel/2006/main">
          <x14:cfRule type="expression" priority="3635" id="{EE1182E8-19AC-462C-9F32-CDAAC6DB7DB9}">
            <xm:f>$S$8='Assessment Details'!$Q$23</xm:f>
            <x14:dxf>
              <font>
                <color theme="0"/>
              </font>
              <fill>
                <patternFill>
                  <bgColor theme="0"/>
                </patternFill>
              </fill>
              <border>
                <vertical/>
                <horizontal/>
              </border>
            </x14:dxf>
          </x14:cfRule>
          <xm:sqref>N12</xm:sqref>
        </x14:conditionalFormatting>
        <x14:conditionalFormatting xmlns:xm="http://schemas.microsoft.com/office/excel/2006/main">
          <x14:cfRule type="expression" priority="3634" id="{FEEA52F8-97DF-4F8A-B310-885F91244739}">
            <xm:f>$S$8='Assessment Details'!$Q$23</xm:f>
            <x14:dxf>
              <border>
                <left style="thin">
                  <color theme="0"/>
                </left>
                <right style="thin">
                  <color theme="0"/>
                </right>
                <top style="thin">
                  <color theme="0"/>
                </top>
                <bottom style="thin">
                  <color theme="0"/>
                </bottom>
                <vertical/>
                <horizontal/>
              </border>
            </x14:dxf>
          </x14:cfRule>
          <xm:sqref>N12</xm:sqref>
        </x14:conditionalFormatting>
        <x14:conditionalFormatting xmlns:xm="http://schemas.microsoft.com/office/excel/2006/main">
          <x14:cfRule type="expression" priority="3633" id="{0500ED55-14FD-4D75-812A-4C6E977937E3}">
            <xm:f>$Z$8='Assessment Details'!$Q$23</xm:f>
            <x14:dxf>
              <font>
                <color theme="0"/>
              </font>
              <fill>
                <patternFill>
                  <bgColor theme="0"/>
                </patternFill>
              </fill>
            </x14:dxf>
          </x14:cfRule>
          <xm:sqref>X12:Y12</xm:sqref>
        </x14:conditionalFormatting>
        <x14:conditionalFormatting xmlns:xm="http://schemas.microsoft.com/office/excel/2006/main">
          <x14:cfRule type="expression" priority="3632" id="{02F69B67-FF1F-407F-A6A5-392A24E088D4}">
            <xm:f>$Z$8='Assessment Details'!$Q$23</xm:f>
            <x14:dxf>
              <border>
                <left style="thin">
                  <color theme="0"/>
                </left>
                <right style="thin">
                  <color theme="0"/>
                </right>
                <top style="thin">
                  <color theme="0"/>
                </top>
                <bottom style="thin">
                  <color theme="0"/>
                </bottom>
                <vertical/>
                <horizontal/>
              </border>
            </x14:dxf>
          </x14:cfRule>
          <xm:sqref>X12:Y12</xm:sqref>
        </x14:conditionalFormatting>
        <x14:conditionalFormatting xmlns:xm="http://schemas.microsoft.com/office/excel/2006/main">
          <x14:cfRule type="expression" priority="3619" id="{ED659AEB-C534-474D-BC9A-1F28BB6E03AC}">
            <xm:f>$S$8='Assessment Details'!$Q$23</xm:f>
            <x14:dxf>
              <font>
                <color theme="0"/>
              </font>
              <fill>
                <patternFill>
                  <bgColor theme="0"/>
                </patternFill>
              </fill>
              <border>
                <vertical/>
                <horizontal/>
              </border>
            </x14:dxf>
          </x14:cfRule>
          <xm:sqref>N22</xm:sqref>
        </x14:conditionalFormatting>
        <x14:conditionalFormatting xmlns:xm="http://schemas.microsoft.com/office/excel/2006/main">
          <x14:cfRule type="expression" priority="3618" id="{6B1AF7A8-920D-46C9-A14C-53B9EBB0B276}">
            <xm:f>$S$8='Assessment Details'!$Q$23</xm:f>
            <x14:dxf>
              <border>
                <left style="thin">
                  <color theme="0"/>
                </left>
                <right style="thin">
                  <color theme="0"/>
                </right>
                <top style="thin">
                  <color theme="0"/>
                </top>
                <bottom style="thin">
                  <color theme="0"/>
                </bottom>
                <vertical/>
                <horizontal/>
              </border>
            </x14:dxf>
          </x14:cfRule>
          <xm:sqref>N22</xm:sqref>
        </x14:conditionalFormatting>
        <x14:conditionalFormatting xmlns:xm="http://schemas.microsoft.com/office/excel/2006/main">
          <x14:cfRule type="expression" priority="3617" id="{4750F467-AF2B-4EE1-8D37-F8DDE10FF71D}">
            <xm:f>$Z$8='Assessment Details'!$Q$23</xm:f>
            <x14:dxf>
              <font>
                <color theme="0"/>
              </font>
              <fill>
                <patternFill>
                  <bgColor theme="0"/>
                </patternFill>
              </fill>
            </x14:dxf>
          </x14:cfRule>
          <xm:sqref>X22:Y22</xm:sqref>
        </x14:conditionalFormatting>
        <x14:conditionalFormatting xmlns:xm="http://schemas.microsoft.com/office/excel/2006/main">
          <x14:cfRule type="expression" priority="3616" id="{28B49DD8-0A54-4B53-81A1-7A75EC50BB3D}">
            <xm:f>$Z$8='Assessment Details'!$Q$23</xm:f>
            <x14:dxf>
              <border>
                <left style="thin">
                  <color theme="0"/>
                </left>
                <right style="thin">
                  <color theme="0"/>
                </right>
                <top style="thin">
                  <color theme="0"/>
                </top>
                <bottom style="thin">
                  <color theme="0"/>
                </bottom>
                <vertical/>
                <horizontal/>
              </border>
            </x14:dxf>
          </x14:cfRule>
          <xm:sqref>X22:Y22</xm:sqref>
        </x14:conditionalFormatting>
        <x14:conditionalFormatting xmlns:xm="http://schemas.microsoft.com/office/excel/2006/main">
          <x14:cfRule type="expression" priority="3603" id="{EBFD9CF1-A8AE-40AE-869A-C533AAA0878A}">
            <xm:f>$S$8='Assessment Details'!$Q$23</xm:f>
            <x14:dxf>
              <font>
                <color theme="0"/>
              </font>
              <fill>
                <patternFill>
                  <bgColor theme="0"/>
                </patternFill>
              </fill>
              <border>
                <vertical/>
                <horizontal/>
              </border>
            </x14:dxf>
          </x14:cfRule>
          <xm:sqref>N23</xm:sqref>
        </x14:conditionalFormatting>
        <x14:conditionalFormatting xmlns:xm="http://schemas.microsoft.com/office/excel/2006/main">
          <x14:cfRule type="expression" priority="3602" id="{D369C0D1-0C55-4FD5-802F-67A9FF741933}">
            <xm:f>$S$8='Assessment Details'!$Q$23</xm:f>
            <x14:dxf>
              <border>
                <left style="thin">
                  <color theme="0"/>
                </left>
                <right style="thin">
                  <color theme="0"/>
                </right>
                <top style="thin">
                  <color theme="0"/>
                </top>
                <bottom style="thin">
                  <color theme="0"/>
                </bottom>
                <vertical/>
                <horizontal/>
              </border>
            </x14:dxf>
          </x14:cfRule>
          <xm:sqref>N23</xm:sqref>
        </x14:conditionalFormatting>
        <x14:conditionalFormatting xmlns:xm="http://schemas.microsoft.com/office/excel/2006/main">
          <x14:cfRule type="expression" priority="3601" id="{E510AEC0-4C08-437C-81A1-F63E45E9612F}">
            <xm:f>$Z$8='Assessment Details'!$Q$23</xm:f>
            <x14:dxf>
              <font>
                <color theme="0"/>
              </font>
              <fill>
                <patternFill>
                  <bgColor theme="0"/>
                </patternFill>
              </fill>
            </x14:dxf>
          </x14:cfRule>
          <xm:sqref>X23:Y23</xm:sqref>
        </x14:conditionalFormatting>
        <x14:conditionalFormatting xmlns:xm="http://schemas.microsoft.com/office/excel/2006/main">
          <x14:cfRule type="expression" priority="3600" id="{D6CA72C4-0E17-486E-B4D6-79593A15E384}">
            <xm:f>$Z$8='Assessment Details'!$Q$23</xm:f>
            <x14:dxf>
              <border>
                <left style="thin">
                  <color theme="0"/>
                </left>
                <right style="thin">
                  <color theme="0"/>
                </right>
                <top style="thin">
                  <color theme="0"/>
                </top>
                <bottom style="thin">
                  <color theme="0"/>
                </bottom>
                <vertical/>
                <horizontal/>
              </border>
            </x14:dxf>
          </x14:cfRule>
          <xm:sqref>X23:Y23</xm:sqref>
        </x14:conditionalFormatting>
        <x14:conditionalFormatting xmlns:xm="http://schemas.microsoft.com/office/excel/2006/main">
          <x14:cfRule type="expression" priority="3587" id="{30CFD794-A9D0-4919-8423-A687917A2B42}">
            <xm:f>$S$8='Assessment Details'!$Q$23</xm:f>
            <x14:dxf>
              <font>
                <color theme="0"/>
              </font>
              <fill>
                <patternFill>
                  <bgColor theme="0"/>
                </patternFill>
              </fill>
              <border>
                <vertical/>
                <horizontal/>
              </border>
            </x14:dxf>
          </x14:cfRule>
          <xm:sqref>N24</xm:sqref>
        </x14:conditionalFormatting>
        <x14:conditionalFormatting xmlns:xm="http://schemas.microsoft.com/office/excel/2006/main">
          <x14:cfRule type="expression" priority="3586" id="{B46BFA8D-A9DA-4239-8CDD-89052E852517}">
            <xm:f>$S$8='Assessment Details'!$Q$23</xm:f>
            <x14:dxf>
              <border>
                <left style="thin">
                  <color theme="0"/>
                </left>
                <right style="thin">
                  <color theme="0"/>
                </right>
                <top style="thin">
                  <color theme="0"/>
                </top>
                <bottom style="thin">
                  <color theme="0"/>
                </bottom>
                <vertical/>
                <horizontal/>
              </border>
            </x14:dxf>
          </x14:cfRule>
          <xm:sqref>N24</xm:sqref>
        </x14:conditionalFormatting>
        <x14:conditionalFormatting xmlns:xm="http://schemas.microsoft.com/office/excel/2006/main">
          <x14:cfRule type="expression" priority="3585" id="{289670E2-FB01-44CB-AE51-853232CF8DF5}">
            <xm:f>$Z$8='Assessment Details'!$Q$23</xm:f>
            <x14:dxf>
              <font>
                <color theme="0"/>
              </font>
              <fill>
                <patternFill>
                  <bgColor theme="0"/>
                </patternFill>
              </fill>
            </x14:dxf>
          </x14:cfRule>
          <xm:sqref>X24:Y24</xm:sqref>
        </x14:conditionalFormatting>
        <x14:conditionalFormatting xmlns:xm="http://schemas.microsoft.com/office/excel/2006/main">
          <x14:cfRule type="expression" priority="3584" id="{EC73C7D2-DB83-4C5E-82C8-E40AF24836A7}">
            <xm:f>$Z$8='Assessment Details'!$Q$23</xm:f>
            <x14:dxf>
              <border>
                <left style="thin">
                  <color theme="0"/>
                </left>
                <right style="thin">
                  <color theme="0"/>
                </right>
                <top style="thin">
                  <color theme="0"/>
                </top>
                <bottom style="thin">
                  <color theme="0"/>
                </bottom>
                <vertical/>
                <horizontal/>
              </border>
            </x14:dxf>
          </x14:cfRule>
          <xm:sqref>X24:Y24</xm:sqref>
        </x14:conditionalFormatting>
        <x14:conditionalFormatting xmlns:xm="http://schemas.microsoft.com/office/excel/2006/main">
          <x14:cfRule type="expression" priority="3571" id="{5739EE40-DC4D-4F29-811B-29CD63AB73ED}">
            <xm:f>$S$8='Assessment Details'!$Q$23</xm:f>
            <x14:dxf>
              <font>
                <color theme="0"/>
              </font>
              <fill>
                <patternFill>
                  <bgColor theme="0"/>
                </patternFill>
              </fill>
              <border>
                <vertical/>
                <horizontal/>
              </border>
            </x14:dxf>
          </x14:cfRule>
          <xm:sqref>N25</xm:sqref>
        </x14:conditionalFormatting>
        <x14:conditionalFormatting xmlns:xm="http://schemas.microsoft.com/office/excel/2006/main">
          <x14:cfRule type="expression" priority="3570" id="{59AEA59F-EAFF-47AE-B1EB-2753249AF74D}">
            <xm:f>$S$8='Assessment Details'!$Q$23</xm:f>
            <x14:dxf>
              <border>
                <left style="thin">
                  <color theme="0"/>
                </left>
                <right style="thin">
                  <color theme="0"/>
                </right>
                <top style="thin">
                  <color theme="0"/>
                </top>
                <bottom style="thin">
                  <color theme="0"/>
                </bottom>
                <vertical/>
                <horizontal/>
              </border>
            </x14:dxf>
          </x14:cfRule>
          <xm:sqref>N25</xm:sqref>
        </x14:conditionalFormatting>
        <x14:conditionalFormatting xmlns:xm="http://schemas.microsoft.com/office/excel/2006/main">
          <x14:cfRule type="expression" priority="3569" id="{D0BA127D-AF9A-4A10-B700-936AFCA8D241}">
            <xm:f>$Z$8='Assessment Details'!$Q$23</xm:f>
            <x14:dxf>
              <font>
                <color theme="0"/>
              </font>
              <fill>
                <patternFill>
                  <bgColor theme="0"/>
                </patternFill>
              </fill>
            </x14:dxf>
          </x14:cfRule>
          <xm:sqref>X25:Y25</xm:sqref>
        </x14:conditionalFormatting>
        <x14:conditionalFormatting xmlns:xm="http://schemas.microsoft.com/office/excel/2006/main">
          <x14:cfRule type="expression" priority="3568" id="{6E44C845-F000-41B3-A695-00FFD6DEAA00}">
            <xm:f>$Z$8='Assessment Details'!$Q$23</xm:f>
            <x14:dxf>
              <border>
                <left style="thin">
                  <color theme="0"/>
                </left>
                <right style="thin">
                  <color theme="0"/>
                </right>
                <top style="thin">
                  <color theme="0"/>
                </top>
                <bottom style="thin">
                  <color theme="0"/>
                </bottom>
                <vertical/>
                <horizontal/>
              </border>
            </x14:dxf>
          </x14:cfRule>
          <xm:sqref>X25:Y25</xm:sqref>
        </x14:conditionalFormatting>
        <x14:conditionalFormatting xmlns:xm="http://schemas.microsoft.com/office/excel/2006/main">
          <x14:cfRule type="expression" priority="3555" id="{62720286-3142-45D6-B0CC-B2A9ABEB7FB2}">
            <xm:f>$S$8='Assessment Details'!$Q$23</xm:f>
            <x14:dxf>
              <font>
                <color theme="0"/>
              </font>
              <fill>
                <patternFill>
                  <bgColor theme="0"/>
                </patternFill>
              </fill>
              <border>
                <vertical/>
                <horizontal/>
              </border>
            </x14:dxf>
          </x14:cfRule>
          <xm:sqref>N29</xm:sqref>
        </x14:conditionalFormatting>
        <x14:conditionalFormatting xmlns:xm="http://schemas.microsoft.com/office/excel/2006/main">
          <x14:cfRule type="expression" priority="3554" id="{7D5AD448-4A98-4EFA-9537-3661F1DC69EF}">
            <xm:f>$S$8='Assessment Details'!$Q$23</xm:f>
            <x14:dxf>
              <border>
                <left style="thin">
                  <color theme="0"/>
                </left>
                <right style="thin">
                  <color theme="0"/>
                </right>
                <top style="thin">
                  <color theme="0"/>
                </top>
                <bottom style="thin">
                  <color theme="0"/>
                </bottom>
                <vertical/>
                <horizontal/>
              </border>
            </x14:dxf>
          </x14:cfRule>
          <xm:sqref>N29</xm:sqref>
        </x14:conditionalFormatting>
        <x14:conditionalFormatting xmlns:xm="http://schemas.microsoft.com/office/excel/2006/main">
          <x14:cfRule type="expression" priority="3553" id="{15868158-DE56-48A3-90CB-5E08F276B121}">
            <xm:f>$Z$8='Assessment Details'!$Q$23</xm:f>
            <x14:dxf>
              <font>
                <color theme="0"/>
              </font>
              <fill>
                <patternFill>
                  <bgColor theme="0"/>
                </patternFill>
              </fill>
            </x14:dxf>
          </x14:cfRule>
          <xm:sqref>X29:Y29</xm:sqref>
        </x14:conditionalFormatting>
        <x14:conditionalFormatting xmlns:xm="http://schemas.microsoft.com/office/excel/2006/main">
          <x14:cfRule type="expression" priority="3552" id="{95F84CDB-5690-43C7-92E5-5F0633A74D0A}">
            <xm:f>$Z$8='Assessment Details'!$Q$23</xm:f>
            <x14:dxf>
              <border>
                <left style="thin">
                  <color theme="0"/>
                </left>
                <right style="thin">
                  <color theme="0"/>
                </right>
                <top style="thin">
                  <color theme="0"/>
                </top>
                <bottom style="thin">
                  <color theme="0"/>
                </bottom>
                <vertical/>
                <horizontal/>
              </border>
            </x14:dxf>
          </x14:cfRule>
          <xm:sqref>X29:Y29</xm:sqref>
        </x14:conditionalFormatting>
        <x14:conditionalFormatting xmlns:xm="http://schemas.microsoft.com/office/excel/2006/main">
          <x14:cfRule type="expression" priority="3539" id="{AF5D9744-D435-4F7E-8BD2-7822D78E86B5}">
            <xm:f>$S$8='Assessment Details'!$Q$23</xm:f>
            <x14:dxf>
              <font>
                <color theme="0"/>
              </font>
              <fill>
                <patternFill>
                  <bgColor theme="0"/>
                </patternFill>
              </fill>
              <border>
                <vertical/>
                <horizontal/>
              </border>
            </x14:dxf>
          </x14:cfRule>
          <xm:sqref>N30</xm:sqref>
        </x14:conditionalFormatting>
        <x14:conditionalFormatting xmlns:xm="http://schemas.microsoft.com/office/excel/2006/main">
          <x14:cfRule type="expression" priority="3538" id="{BFC76992-1E49-46CC-9E29-C20E1386BD8F}">
            <xm:f>$S$8='Assessment Details'!$Q$23</xm:f>
            <x14:dxf>
              <border>
                <left style="thin">
                  <color theme="0"/>
                </left>
                <right style="thin">
                  <color theme="0"/>
                </right>
                <top style="thin">
                  <color theme="0"/>
                </top>
                <bottom style="thin">
                  <color theme="0"/>
                </bottom>
                <vertical/>
                <horizontal/>
              </border>
            </x14:dxf>
          </x14:cfRule>
          <xm:sqref>N30</xm:sqref>
        </x14:conditionalFormatting>
        <x14:conditionalFormatting xmlns:xm="http://schemas.microsoft.com/office/excel/2006/main">
          <x14:cfRule type="expression" priority="3537" id="{06AA824E-1639-46EF-A738-822BED2062DE}">
            <xm:f>$Z$8='Assessment Details'!$Q$23</xm:f>
            <x14:dxf>
              <font>
                <color theme="0"/>
              </font>
              <fill>
                <patternFill>
                  <bgColor theme="0"/>
                </patternFill>
              </fill>
            </x14:dxf>
          </x14:cfRule>
          <xm:sqref>X30:Y30</xm:sqref>
        </x14:conditionalFormatting>
        <x14:conditionalFormatting xmlns:xm="http://schemas.microsoft.com/office/excel/2006/main">
          <x14:cfRule type="expression" priority="3536" id="{091C4537-0981-45A2-903A-D06358AB1324}">
            <xm:f>$Z$8='Assessment Details'!$Q$23</xm:f>
            <x14:dxf>
              <border>
                <left style="thin">
                  <color theme="0"/>
                </left>
                <right style="thin">
                  <color theme="0"/>
                </right>
                <top style="thin">
                  <color theme="0"/>
                </top>
                <bottom style="thin">
                  <color theme="0"/>
                </bottom>
                <vertical/>
                <horizontal/>
              </border>
            </x14:dxf>
          </x14:cfRule>
          <xm:sqref>X30:Y30</xm:sqref>
        </x14:conditionalFormatting>
        <x14:conditionalFormatting xmlns:xm="http://schemas.microsoft.com/office/excel/2006/main">
          <x14:cfRule type="expression" priority="3523" id="{9E69F7EB-8E3F-40ED-B49A-5F2566E23221}">
            <xm:f>$S$8='Assessment Details'!$Q$23</xm:f>
            <x14:dxf>
              <font>
                <color theme="0"/>
              </font>
              <fill>
                <patternFill>
                  <bgColor theme="0"/>
                </patternFill>
              </fill>
              <border>
                <vertical/>
                <horizontal/>
              </border>
            </x14:dxf>
          </x14:cfRule>
          <xm:sqref>N31</xm:sqref>
        </x14:conditionalFormatting>
        <x14:conditionalFormatting xmlns:xm="http://schemas.microsoft.com/office/excel/2006/main">
          <x14:cfRule type="expression" priority="3522" id="{918BB4E2-D352-49A3-9681-A831A9DDE801}">
            <xm:f>$S$8='Assessment Details'!$Q$23</xm:f>
            <x14:dxf>
              <border>
                <left style="thin">
                  <color theme="0"/>
                </left>
                <right style="thin">
                  <color theme="0"/>
                </right>
                <top style="thin">
                  <color theme="0"/>
                </top>
                <bottom style="thin">
                  <color theme="0"/>
                </bottom>
                <vertical/>
                <horizontal/>
              </border>
            </x14:dxf>
          </x14:cfRule>
          <xm:sqref>N31</xm:sqref>
        </x14:conditionalFormatting>
        <x14:conditionalFormatting xmlns:xm="http://schemas.microsoft.com/office/excel/2006/main">
          <x14:cfRule type="expression" priority="3521" id="{017C0CD2-BFC7-4472-8A84-D25E983FAB4B}">
            <xm:f>$Z$8='Assessment Details'!$Q$23</xm:f>
            <x14:dxf>
              <font>
                <color theme="0"/>
              </font>
              <fill>
                <patternFill>
                  <bgColor theme="0"/>
                </patternFill>
              </fill>
            </x14:dxf>
          </x14:cfRule>
          <xm:sqref>X31:Y31</xm:sqref>
        </x14:conditionalFormatting>
        <x14:conditionalFormatting xmlns:xm="http://schemas.microsoft.com/office/excel/2006/main">
          <x14:cfRule type="expression" priority="3520" id="{82777833-394D-43A7-8038-B6DA34939F99}">
            <xm:f>$Z$8='Assessment Details'!$Q$23</xm:f>
            <x14:dxf>
              <border>
                <left style="thin">
                  <color theme="0"/>
                </left>
                <right style="thin">
                  <color theme="0"/>
                </right>
                <top style="thin">
                  <color theme="0"/>
                </top>
                <bottom style="thin">
                  <color theme="0"/>
                </bottom>
                <vertical/>
                <horizontal/>
              </border>
            </x14:dxf>
          </x14:cfRule>
          <xm:sqref>X31:Y31</xm:sqref>
        </x14:conditionalFormatting>
        <x14:conditionalFormatting xmlns:xm="http://schemas.microsoft.com/office/excel/2006/main">
          <x14:cfRule type="expression" priority="3507" id="{460E784F-64CF-4F2E-8193-3E2EC1124A08}">
            <xm:f>$S$8='Assessment Details'!$Q$23</xm:f>
            <x14:dxf>
              <font>
                <color theme="0"/>
              </font>
              <fill>
                <patternFill>
                  <bgColor theme="0"/>
                </patternFill>
              </fill>
              <border>
                <vertical/>
                <horizontal/>
              </border>
            </x14:dxf>
          </x14:cfRule>
          <xm:sqref>N33</xm:sqref>
        </x14:conditionalFormatting>
        <x14:conditionalFormatting xmlns:xm="http://schemas.microsoft.com/office/excel/2006/main">
          <x14:cfRule type="expression" priority="3506" id="{49600BB0-26E2-444B-B954-BA0D92B8D3FE}">
            <xm:f>$S$8='Assessment Details'!$Q$23</xm:f>
            <x14:dxf>
              <border>
                <left style="thin">
                  <color theme="0"/>
                </left>
                <right style="thin">
                  <color theme="0"/>
                </right>
                <top style="thin">
                  <color theme="0"/>
                </top>
                <bottom style="thin">
                  <color theme="0"/>
                </bottom>
                <vertical/>
                <horizontal/>
              </border>
            </x14:dxf>
          </x14:cfRule>
          <xm:sqref>N33</xm:sqref>
        </x14:conditionalFormatting>
        <x14:conditionalFormatting xmlns:xm="http://schemas.microsoft.com/office/excel/2006/main">
          <x14:cfRule type="expression" priority="3505" id="{D6870EA8-63F5-49CE-9555-4B125AD932FE}">
            <xm:f>$Z$8='Assessment Details'!$Q$23</xm:f>
            <x14:dxf>
              <font>
                <color theme="0"/>
              </font>
              <fill>
                <patternFill>
                  <bgColor theme="0"/>
                </patternFill>
              </fill>
            </x14:dxf>
          </x14:cfRule>
          <xm:sqref>X33:Y33</xm:sqref>
        </x14:conditionalFormatting>
        <x14:conditionalFormatting xmlns:xm="http://schemas.microsoft.com/office/excel/2006/main">
          <x14:cfRule type="expression" priority="3504" id="{E08A0F6E-3965-43E6-92E6-1D2AB84C93CB}">
            <xm:f>$Z$8='Assessment Details'!$Q$23</xm:f>
            <x14:dxf>
              <border>
                <left style="thin">
                  <color theme="0"/>
                </left>
                <right style="thin">
                  <color theme="0"/>
                </right>
                <top style="thin">
                  <color theme="0"/>
                </top>
                <bottom style="thin">
                  <color theme="0"/>
                </bottom>
                <vertical/>
                <horizontal/>
              </border>
            </x14:dxf>
          </x14:cfRule>
          <xm:sqref>X33:Y33</xm:sqref>
        </x14:conditionalFormatting>
        <x14:conditionalFormatting xmlns:xm="http://schemas.microsoft.com/office/excel/2006/main">
          <x14:cfRule type="expression" priority="3491" id="{38F425FC-94CD-4BB9-A180-E504232063FB}">
            <xm:f>$S$8='Assessment Details'!$Q$23</xm:f>
            <x14:dxf>
              <font>
                <color theme="0"/>
              </font>
              <fill>
                <patternFill>
                  <bgColor theme="0"/>
                </patternFill>
              </fill>
              <border>
                <vertical/>
                <horizontal/>
              </border>
            </x14:dxf>
          </x14:cfRule>
          <xm:sqref>N34</xm:sqref>
        </x14:conditionalFormatting>
        <x14:conditionalFormatting xmlns:xm="http://schemas.microsoft.com/office/excel/2006/main">
          <x14:cfRule type="expression" priority="3490" id="{6BFF1090-B4A7-4D7A-9B52-3C465FDBE6D1}">
            <xm:f>$S$8='Assessment Details'!$Q$23</xm:f>
            <x14:dxf>
              <border>
                <left style="thin">
                  <color theme="0"/>
                </left>
                <right style="thin">
                  <color theme="0"/>
                </right>
                <top style="thin">
                  <color theme="0"/>
                </top>
                <bottom style="thin">
                  <color theme="0"/>
                </bottom>
                <vertical/>
                <horizontal/>
              </border>
            </x14:dxf>
          </x14:cfRule>
          <xm:sqref>N34</xm:sqref>
        </x14:conditionalFormatting>
        <x14:conditionalFormatting xmlns:xm="http://schemas.microsoft.com/office/excel/2006/main">
          <x14:cfRule type="expression" priority="3489" id="{10F91EB4-3D6B-406D-A53C-9868780B78BF}">
            <xm:f>$Z$8='Assessment Details'!$Q$23</xm:f>
            <x14:dxf>
              <font>
                <color theme="0"/>
              </font>
              <fill>
                <patternFill>
                  <bgColor theme="0"/>
                </patternFill>
              </fill>
            </x14:dxf>
          </x14:cfRule>
          <xm:sqref>X34:Y34</xm:sqref>
        </x14:conditionalFormatting>
        <x14:conditionalFormatting xmlns:xm="http://schemas.microsoft.com/office/excel/2006/main">
          <x14:cfRule type="expression" priority="3488" id="{D97093BF-466C-4308-85C2-FDB1D1296701}">
            <xm:f>$Z$8='Assessment Details'!$Q$23</xm:f>
            <x14:dxf>
              <border>
                <left style="thin">
                  <color theme="0"/>
                </left>
                <right style="thin">
                  <color theme="0"/>
                </right>
                <top style="thin">
                  <color theme="0"/>
                </top>
                <bottom style="thin">
                  <color theme="0"/>
                </bottom>
                <vertical/>
                <horizontal/>
              </border>
            </x14:dxf>
          </x14:cfRule>
          <xm:sqref>X34:Y34</xm:sqref>
        </x14:conditionalFormatting>
        <x14:conditionalFormatting xmlns:xm="http://schemas.microsoft.com/office/excel/2006/main">
          <x14:cfRule type="expression" priority="3475" id="{9D40A64A-1A5D-47C4-85D0-414185D1DDD7}">
            <xm:f>$S$8='Assessment Details'!$Q$23</xm:f>
            <x14:dxf>
              <font>
                <color theme="0"/>
              </font>
              <fill>
                <patternFill>
                  <bgColor theme="0"/>
                </patternFill>
              </fill>
              <border>
                <vertical/>
                <horizontal/>
              </border>
            </x14:dxf>
          </x14:cfRule>
          <xm:sqref>N35</xm:sqref>
        </x14:conditionalFormatting>
        <x14:conditionalFormatting xmlns:xm="http://schemas.microsoft.com/office/excel/2006/main">
          <x14:cfRule type="expression" priority="3474" id="{17F35FEC-BD80-4030-8F69-22539DD26437}">
            <xm:f>$S$8='Assessment Details'!$Q$23</xm:f>
            <x14:dxf>
              <border>
                <left style="thin">
                  <color theme="0"/>
                </left>
                <right style="thin">
                  <color theme="0"/>
                </right>
                <top style="thin">
                  <color theme="0"/>
                </top>
                <bottom style="thin">
                  <color theme="0"/>
                </bottom>
                <vertical/>
                <horizontal/>
              </border>
            </x14:dxf>
          </x14:cfRule>
          <xm:sqref>N35</xm:sqref>
        </x14:conditionalFormatting>
        <x14:conditionalFormatting xmlns:xm="http://schemas.microsoft.com/office/excel/2006/main">
          <x14:cfRule type="expression" priority="3473" id="{56402DFA-9922-456D-8512-574F77753863}">
            <xm:f>$Z$8='Assessment Details'!$Q$23</xm:f>
            <x14:dxf>
              <font>
                <color theme="0"/>
              </font>
              <fill>
                <patternFill>
                  <bgColor theme="0"/>
                </patternFill>
              </fill>
            </x14:dxf>
          </x14:cfRule>
          <xm:sqref>X35:Y35</xm:sqref>
        </x14:conditionalFormatting>
        <x14:conditionalFormatting xmlns:xm="http://schemas.microsoft.com/office/excel/2006/main">
          <x14:cfRule type="expression" priority="3472" id="{652B0D8E-CAF5-420E-879E-68C784E00640}">
            <xm:f>$Z$8='Assessment Details'!$Q$23</xm:f>
            <x14:dxf>
              <border>
                <left style="thin">
                  <color theme="0"/>
                </left>
                <right style="thin">
                  <color theme="0"/>
                </right>
                <top style="thin">
                  <color theme="0"/>
                </top>
                <bottom style="thin">
                  <color theme="0"/>
                </bottom>
                <vertical/>
                <horizontal/>
              </border>
            </x14:dxf>
          </x14:cfRule>
          <xm:sqref>X35:Y35</xm:sqref>
        </x14:conditionalFormatting>
        <x14:conditionalFormatting xmlns:xm="http://schemas.microsoft.com/office/excel/2006/main">
          <x14:cfRule type="expression" priority="3404" id="{A51A9EE3-A346-4A7D-9CC4-6F74F48CB346}">
            <xm:f>$Z$8='Assessment Details'!$Q$23</xm:f>
            <x14:dxf>
              <font>
                <color theme="0"/>
              </font>
              <fill>
                <patternFill>
                  <bgColor theme="0"/>
                </patternFill>
              </fill>
            </x14:dxf>
          </x14:cfRule>
          <xm:sqref>U12:U15</xm:sqref>
        </x14:conditionalFormatting>
        <x14:conditionalFormatting xmlns:xm="http://schemas.microsoft.com/office/excel/2006/main">
          <x14:cfRule type="expression" priority="3403" id="{13859A7A-761F-40DE-93AE-0C3FE6143BC4}">
            <xm:f>$Z$8='Assessment Details'!$Q$23</xm:f>
            <x14:dxf>
              <border>
                <left style="thin">
                  <color theme="0"/>
                </left>
                <right style="thin">
                  <color theme="0"/>
                </right>
                <top style="thin">
                  <color theme="0"/>
                </top>
                <bottom style="thin">
                  <color theme="0"/>
                </bottom>
                <vertical/>
                <horizontal/>
              </border>
            </x14:dxf>
          </x14:cfRule>
          <xm:sqref>U12:U15</xm:sqref>
        </x14:conditionalFormatting>
        <x14:conditionalFormatting xmlns:xm="http://schemas.microsoft.com/office/excel/2006/main">
          <x14:cfRule type="expression" priority="3400" id="{9CCA7761-7168-4980-BCB9-AD04377C62A6}">
            <xm:f>$Z$8='Assessment Details'!$Q$23</xm:f>
            <x14:dxf>
              <font>
                <color theme="0"/>
              </font>
              <fill>
                <patternFill>
                  <bgColor theme="0"/>
                </patternFill>
              </fill>
            </x14:dxf>
          </x14:cfRule>
          <xm:sqref>U17</xm:sqref>
        </x14:conditionalFormatting>
        <x14:conditionalFormatting xmlns:xm="http://schemas.microsoft.com/office/excel/2006/main">
          <x14:cfRule type="expression" priority="3399" id="{B1D1F7DB-2F4A-4616-83B0-5513D932E48E}">
            <xm:f>$Z$8='Assessment Details'!$Q$23</xm:f>
            <x14:dxf>
              <border>
                <left style="thin">
                  <color theme="0"/>
                </left>
                <right style="thin">
                  <color theme="0"/>
                </right>
                <top style="thin">
                  <color theme="0"/>
                </top>
                <bottom style="thin">
                  <color theme="0"/>
                </bottom>
                <vertical/>
                <horizontal/>
              </border>
            </x14:dxf>
          </x14:cfRule>
          <xm:sqref>U17</xm:sqref>
        </x14:conditionalFormatting>
        <x14:conditionalFormatting xmlns:xm="http://schemas.microsoft.com/office/excel/2006/main">
          <x14:cfRule type="expression" priority="3396" id="{B0A2CEFF-3203-4EFC-97E6-4FD644D6FD19}">
            <xm:f>$Z$8='Assessment Details'!$Q$23</xm:f>
            <x14:dxf>
              <font>
                <color theme="0"/>
              </font>
              <fill>
                <patternFill>
                  <bgColor theme="0"/>
                </patternFill>
              </fill>
            </x14:dxf>
          </x14:cfRule>
          <xm:sqref>U19:U20</xm:sqref>
        </x14:conditionalFormatting>
        <x14:conditionalFormatting xmlns:xm="http://schemas.microsoft.com/office/excel/2006/main">
          <x14:cfRule type="expression" priority="3395" id="{ADE3DB88-2496-4BE7-BDC3-B98ACF16BED3}">
            <xm:f>$Z$8='Assessment Details'!$Q$23</xm:f>
            <x14:dxf>
              <border>
                <left style="thin">
                  <color theme="0"/>
                </left>
                <right style="thin">
                  <color theme="0"/>
                </right>
                <top style="thin">
                  <color theme="0"/>
                </top>
                <bottom style="thin">
                  <color theme="0"/>
                </bottom>
                <vertical/>
                <horizontal/>
              </border>
            </x14:dxf>
          </x14:cfRule>
          <xm:sqref>U19:U20</xm:sqref>
        </x14:conditionalFormatting>
        <x14:conditionalFormatting xmlns:xm="http://schemas.microsoft.com/office/excel/2006/main">
          <x14:cfRule type="expression" priority="3392" id="{7E6D2CFE-5AF3-4ACA-B0B1-DADF3C9267AB}">
            <xm:f>$Z$8='Assessment Details'!$Q$23</xm:f>
            <x14:dxf>
              <font>
                <color theme="0"/>
              </font>
              <fill>
                <patternFill>
                  <bgColor theme="0"/>
                </patternFill>
              </fill>
            </x14:dxf>
          </x14:cfRule>
          <xm:sqref>U22:U25</xm:sqref>
        </x14:conditionalFormatting>
        <x14:conditionalFormatting xmlns:xm="http://schemas.microsoft.com/office/excel/2006/main">
          <x14:cfRule type="expression" priority="3391" id="{CF39A711-10F3-41D6-B598-205336331052}">
            <xm:f>$Z$8='Assessment Details'!$Q$23</xm:f>
            <x14:dxf>
              <border>
                <left style="thin">
                  <color theme="0"/>
                </left>
                <right style="thin">
                  <color theme="0"/>
                </right>
                <top style="thin">
                  <color theme="0"/>
                </top>
                <bottom style="thin">
                  <color theme="0"/>
                </bottom>
                <vertical/>
                <horizontal/>
              </border>
            </x14:dxf>
          </x14:cfRule>
          <xm:sqref>U22:U25</xm:sqref>
        </x14:conditionalFormatting>
        <x14:conditionalFormatting xmlns:xm="http://schemas.microsoft.com/office/excel/2006/main">
          <x14:cfRule type="expression" priority="3388" id="{4DC1D019-7687-4557-AA3C-2EAB0E799B24}">
            <xm:f>$Z$8='Assessment Details'!$Q$23</xm:f>
            <x14:dxf>
              <font>
                <color theme="0"/>
              </font>
              <fill>
                <patternFill>
                  <bgColor theme="0"/>
                </patternFill>
              </fill>
            </x14:dxf>
          </x14:cfRule>
          <xm:sqref>U29:U31</xm:sqref>
        </x14:conditionalFormatting>
        <x14:conditionalFormatting xmlns:xm="http://schemas.microsoft.com/office/excel/2006/main">
          <x14:cfRule type="expression" priority="3387" id="{C3B9F756-BA02-4BE4-A786-0959C2B9093C}">
            <xm:f>$Z$8='Assessment Details'!$Q$23</xm:f>
            <x14:dxf>
              <border>
                <left style="thin">
                  <color theme="0"/>
                </left>
                <right style="thin">
                  <color theme="0"/>
                </right>
                <top style="thin">
                  <color theme="0"/>
                </top>
                <bottom style="thin">
                  <color theme="0"/>
                </bottom>
                <vertical/>
                <horizontal/>
              </border>
            </x14:dxf>
          </x14:cfRule>
          <xm:sqref>U29:U31</xm:sqref>
        </x14:conditionalFormatting>
        <x14:conditionalFormatting xmlns:xm="http://schemas.microsoft.com/office/excel/2006/main">
          <x14:cfRule type="expression" priority="3384" id="{9D8EAA10-831B-47F6-9880-B672D74A7B47}">
            <xm:f>$Z$8='Assessment Details'!$Q$23</xm:f>
            <x14:dxf>
              <font>
                <color theme="0"/>
              </font>
              <fill>
                <patternFill>
                  <bgColor theme="0"/>
                </patternFill>
              </fill>
            </x14:dxf>
          </x14:cfRule>
          <xm:sqref>U33:U35</xm:sqref>
        </x14:conditionalFormatting>
        <x14:conditionalFormatting xmlns:xm="http://schemas.microsoft.com/office/excel/2006/main">
          <x14:cfRule type="expression" priority="3383" id="{8D490185-C11D-4E2C-A262-0F04EC874789}">
            <xm:f>$Z$8='Assessment Details'!$Q$23</xm:f>
            <x14:dxf>
              <border>
                <left style="thin">
                  <color theme="0"/>
                </left>
                <right style="thin">
                  <color theme="0"/>
                </right>
                <top style="thin">
                  <color theme="0"/>
                </top>
                <bottom style="thin">
                  <color theme="0"/>
                </bottom>
                <vertical/>
                <horizontal/>
              </border>
            </x14:dxf>
          </x14:cfRule>
          <xm:sqref>U33:U35</xm:sqref>
        </x14:conditionalFormatting>
        <x14:conditionalFormatting xmlns:xm="http://schemas.microsoft.com/office/excel/2006/main">
          <x14:cfRule type="expression" priority="1271" id="{1157C328-2960-4AAC-B89F-17A69C6D9E95}">
            <xm:f>$Z$8='Assessment Details'!$Q$23</xm:f>
            <x14:dxf>
              <border>
                <left style="thin">
                  <color theme="0"/>
                </left>
                <right style="thin">
                  <color theme="0"/>
                </right>
                <top style="thin">
                  <color theme="0"/>
                </top>
                <bottom style="thin">
                  <color theme="0"/>
                </bottom>
                <vertical/>
                <horizontal/>
              </border>
            </x14:dxf>
          </x14:cfRule>
          <xm:sqref>U209:U210</xm:sqref>
        </x14:conditionalFormatting>
        <x14:conditionalFormatting xmlns:xm="http://schemas.microsoft.com/office/excel/2006/main">
          <x14:cfRule type="expression" priority="3369" id="{6C3AC176-5C03-43AC-B982-5A5210702F2C}">
            <xm:f>$S$8='Assessment Details'!$Q$23</xm:f>
            <x14:dxf>
              <font>
                <color theme="0"/>
              </font>
              <fill>
                <patternFill>
                  <bgColor theme="0"/>
                </patternFill>
              </fill>
              <border>
                <vertical/>
                <horizontal/>
              </border>
            </x14:dxf>
          </x14:cfRule>
          <xm:sqref>Q39:R41</xm:sqref>
        </x14:conditionalFormatting>
        <x14:conditionalFormatting xmlns:xm="http://schemas.microsoft.com/office/excel/2006/main">
          <x14:cfRule type="expression" priority="3368" id="{DDB385AE-37C4-40DB-A9DD-5D96C9F8473F}">
            <xm:f>$S$8='Assessment Details'!$Q$23</xm:f>
            <x14:dxf>
              <border>
                <left style="thin">
                  <color theme="0"/>
                </left>
                <right style="thin">
                  <color theme="0"/>
                </right>
                <top style="thin">
                  <color theme="0"/>
                </top>
                <bottom style="thin">
                  <color theme="0"/>
                </bottom>
                <vertical/>
                <horizontal/>
              </border>
            </x14:dxf>
          </x14:cfRule>
          <xm:sqref>Q39:R41</xm:sqref>
        </x14:conditionalFormatting>
        <x14:conditionalFormatting xmlns:xm="http://schemas.microsoft.com/office/excel/2006/main">
          <x14:cfRule type="expression" priority="3367" id="{922435A6-256D-41EC-B350-F35DE030C64C}">
            <xm:f>$Z$8='Assessment Details'!$Q$23</xm:f>
            <x14:dxf>
              <font>
                <color theme="0"/>
              </font>
              <fill>
                <patternFill>
                  <bgColor theme="0"/>
                </patternFill>
              </fill>
            </x14:dxf>
          </x14:cfRule>
          <xm:sqref>X39:Y41</xm:sqref>
        </x14:conditionalFormatting>
        <x14:conditionalFormatting xmlns:xm="http://schemas.microsoft.com/office/excel/2006/main">
          <x14:cfRule type="expression" priority="3366" id="{30653C29-5FEC-4020-A8A1-BF730558D507}">
            <xm:f>$Z$8='Assessment Details'!$Q$23</xm:f>
            <x14:dxf>
              <border>
                <left style="thin">
                  <color theme="0"/>
                </left>
                <right style="thin">
                  <color theme="0"/>
                </right>
                <top style="thin">
                  <color theme="0"/>
                </top>
                <bottom style="thin">
                  <color theme="0"/>
                </bottom>
                <vertical/>
                <horizontal/>
              </border>
            </x14:dxf>
          </x14:cfRule>
          <xm:sqref>X39:Y41</xm:sqref>
        </x14:conditionalFormatting>
        <x14:conditionalFormatting xmlns:xm="http://schemas.microsoft.com/office/excel/2006/main">
          <x14:cfRule type="expression" priority="3348" id="{C5FDD142-AD61-4957-894A-D69E602D3558}">
            <xm:f>$S$8='Assessment Details'!$Q$23</xm:f>
            <x14:dxf>
              <font>
                <color theme="0"/>
              </font>
              <fill>
                <patternFill>
                  <bgColor theme="0"/>
                </patternFill>
              </fill>
              <border>
                <vertical/>
                <horizontal/>
              </border>
            </x14:dxf>
          </x14:cfRule>
          <xm:sqref>Q67:R67</xm:sqref>
        </x14:conditionalFormatting>
        <x14:conditionalFormatting xmlns:xm="http://schemas.microsoft.com/office/excel/2006/main">
          <x14:cfRule type="expression" priority="3347" id="{9DB8FE42-9040-4E4E-A9EA-F4D2918927B9}">
            <xm:f>$S$8='Assessment Details'!$Q$23</xm:f>
            <x14:dxf>
              <border>
                <left style="thin">
                  <color theme="0"/>
                </left>
                <right style="thin">
                  <color theme="0"/>
                </right>
                <top style="thin">
                  <color theme="0"/>
                </top>
                <bottom style="thin">
                  <color theme="0"/>
                </bottom>
                <vertical/>
                <horizontal/>
              </border>
            </x14:dxf>
          </x14:cfRule>
          <xm:sqref>Q67:R67</xm:sqref>
        </x14:conditionalFormatting>
        <x14:conditionalFormatting xmlns:xm="http://schemas.microsoft.com/office/excel/2006/main">
          <x14:cfRule type="expression" priority="3346" id="{2CA6F8E7-D3DE-4547-8A93-31B420D3AA32}">
            <xm:f>$Z$8='Assessment Details'!$Q$23</xm:f>
            <x14:dxf>
              <font>
                <color theme="0"/>
              </font>
              <fill>
                <patternFill>
                  <bgColor theme="0"/>
                </patternFill>
              </fill>
            </x14:dxf>
          </x14:cfRule>
          <xm:sqref>X67:Y67</xm:sqref>
        </x14:conditionalFormatting>
        <x14:conditionalFormatting xmlns:xm="http://schemas.microsoft.com/office/excel/2006/main">
          <x14:cfRule type="expression" priority="3345" id="{EB20820A-77BD-428A-B963-01B423B6B520}">
            <xm:f>$Z$8='Assessment Details'!$Q$23</xm:f>
            <x14:dxf>
              <border>
                <left style="thin">
                  <color theme="0"/>
                </left>
                <right style="thin">
                  <color theme="0"/>
                </right>
                <top style="thin">
                  <color theme="0"/>
                </top>
                <bottom style="thin">
                  <color theme="0"/>
                </bottom>
                <vertical/>
                <horizontal/>
              </border>
            </x14:dxf>
          </x14:cfRule>
          <xm:sqref>X67:Y67</xm:sqref>
        </x14:conditionalFormatting>
        <x14:conditionalFormatting xmlns:xm="http://schemas.microsoft.com/office/excel/2006/main">
          <x14:cfRule type="expression" priority="3327" id="{9BE243BD-939B-4B2A-8445-545F1AAAA016}">
            <xm:f>$S$8='Assessment Details'!$Q$23</xm:f>
            <x14:dxf>
              <font>
                <color theme="0"/>
              </font>
              <fill>
                <patternFill>
                  <bgColor theme="0"/>
                </patternFill>
              </fill>
              <border>
                <vertical/>
                <horizontal/>
              </border>
            </x14:dxf>
          </x14:cfRule>
          <xm:sqref>Q97:R97</xm:sqref>
        </x14:conditionalFormatting>
        <x14:conditionalFormatting xmlns:xm="http://schemas.microsoft.com/office/excel/2006/main">
          <x14:cfRule type="expression" priority="3326" id="{31D3F3DC-A5A6-43F7-A84E-47847D571250}">
            <xm:f>$S$8='Assessment Details'!$Q$23</xm:f>
            <x14:dxf>
              <border>
                <left style="thin">
                  <color theme="0"/>
                </left>
                <right style="thin">
                  <color theme="0"/>
                </right>
                <top style="thin">
                  <color theme="0"/>
                </top>
                <bottom style="thin">
                  <color theme="0"/>
                </bottom>
                <vertical/>
                <horizontal/>
              </border>
            </x14:dxf>
          </x14:cfRule>
          <xm:sqref>Q97:R97</xm:sqref>
        </x14:conditionalFormatting>
        <x14:conditionalFormatting xmlns:xm="http://schemas.microsoft.com/office/excel/2006/main">
          <x14:cfRule type="expression" priority="3325" id="{0D96B168-A075-4ACA-972F-7C5BD9EDF006}">
            <xm:f>$Z$8='Assessment Details'!$Q$23</xm:f>
            <x14:dxf>
              <font>
                <color theme="0"/>
              </font>
              <fill>
                <patternFill>
                  <bgColor theme="0"/>
                </patternFill>
              </fill>
            </x14:dxf>
          </x14:cfRule>
          <xm:sqref>X97:Y97</xm:sqref>
        </x14:conditionalFormatting>
        <x14:conditionalFormatting xmlns:xm="http://schemas.microsoft.com/office/excel/2006/main">
          <x14:cfRule type="expression" priority="3324" id="{BEDE4353-73BB-4268-9782-D92BFDFF7B2F}">
            <xm:f>$Z$8='Assessment Details'!$Q$23</xm:f>
            <x14:dxf>
              <border>
                <left style="thin">
                  <color theme="0"/>
                </left>
                <right style="thin">
                  <color theme="0"/>
                </right>
                <top style="thin">
                  <color theme="0"/>
                </top>
                <bottom style="thin">
                  <color theme="0"/>
                </bottom>
                <vertical/>
                <horizontal/>
              </border>
            </x14:dxf>
          </x14:cfRule>
          <xm:sqref>X97:Y97</xm:sqref>
        </x14:conditionalFormatting>
        <x14:conditionalFormatting xmlns:xm="http://schemas.microsoft.com/office/excel/2006/main">
          <x14:cfRule type="expression" priority="3306" id="{BD646086-7FEC-4608-8260-A1539322D6DC}">
            <xm:f>$S$8='Assessment Details'!$Q$23</xm:f>
            <x14:dxf>
              <font>
                <color theme="0"/>
              </font>
              <fill>
                <patternFill>
                  <bgColor theme="0"/>
                </patternFill>
              </fill>
              <border>
                <vertical/>
                <horizontal/>
              </border>
            </x14:dxf>
          </x14:cfRule>
          <xm:sqref>Q106:R106</xm:sqref>
        </x14:conditionalFormatting>
        <x14:conditionalFormatting xmlns:xm="http://schemas.microsoft.com/office/excel/2006/main">
          <x14:cfRule type="expression" priority="3305" id="{EEA9CA69-870A-4711-A0E3-C79AA489B52D}">
            <xm:f>$S$8='Assessment Details'!$Q$23</xm:f>
            <x14:dxf>
              <border>
                <left style="thin">
                  <color theme="0"/>
                </left>
                <right style="thin">
                  <color theme="0"/>
                </right>
                <top style="thin">
                  <color theme="0"/>
                </top>
                <bottom style="thin">
                  <color theme="0"/>
                </bottom>
                <vertical/>
                <horizontal/>
              </border>
            </x14:dxf>
          </x14:cfRule>
          <xm:sqref>Q106:R106</xm:sqref>
        </x14:conditionalFormatting>
        <x14:conditionalFormatting xmlns:xm="http://schemas.microsoft.com/office/excel/2006/main">
          <x14:cfRule type="expression" priority="3304" id="{26400E7D-6B6F-447E-83D4-8FC0EB5CF78E}">
            <xm:f>$Z$8='Assessment Details'!$Q$23</xm:f>
            <x14:dxf>
              <font>
                <color theme="0"/>
              </font>
              <fill>
                <patternFill>
                  <bgColor theme="0"/>
                </patternFill>
              </fill>
            </x14:dxf>
          </x14:cfRule>
          <xm:sqref>X106:Y106</xm:sqref>
        </x14:conditionalFormatting>
        <x14:conditionalFormatting xmlns:xm="http://schemas.microsoft.com/office/excel/2006/main">
          <x14:cfRule type="expression" priority="3303" id="{F8A3620C-8EF9-428C-A90A-9C7C4BFC7B8F}">
            <xm:f>$Z$8='Assessment Details'!$Q$23</xm:f>
            <x14:dxf>
              <border>
                <left style="thin">
                  <color theme="0"/>
                </left>
                <right style="thin">
                  <color theme="0"/>
                </right>
                <top style="thin">
                  <color theme="0"/>
                </top>
                <bottom style="thin">
                  <color theme="0"/>
                </bottom>
                <vertical/>
                <horizontal/>
              </border>
            </x14:dxf>
          </x14:cfRule>
          <xm:sqref>X106:Y106</xm:sqref>
        </x14:conditionalFormatting>
        <x14:conditionalFormatting xmlns:xm="http://schemas.microsoft.com/office/excel/2006/main">
          <x14:cfRule type="expression" priority="3285" id="{1421B727-C568-499F-B397-D12CBB809207}">
            <xm:f>$S$8='Assessment Details'!$Q$23</xm:f>
            <x14:dxf>
              <font>
                <color theme="0"/>
              </font>
              <fill>
                <patternFill>
                  <bgColor theme="0"/>
                </patternFill>
              </fill>
              <border>
                <vertical/>
                <horizontal/>
              </border>
            </x14:dxf>
          </x14:cfRule>
          <xm:sqref>Q120:R120</xm:sqref>
        </x14:conditionalFormatting>
        <x14:conditionalFormatting xmlns:xm="http://schemas.microsoft.com/office/excel/2006/main">
          <x14:cfRule type="expression" priority="3284" id="{8B0E32BB-5BEA-47CD-9C01-AAF17FE22052}">
            <xm:f>$S$8='Assessment Details'!$Q$23</xm:f>
            <x14:dxf>
              <border>
                <left style="thin">
                  <color theme="0"/>
                </left>
                <right style="thin">
                  <color theme="0"/>
                </right>
                <top style="thin">
                  <color theme="0"/>
                </top>
                <bottom style="thin">
                  <color theme="0"/>
                </bottom>
                <vertical/>
                <horizontal/>
              </border>
            </x14:dxf>
          </x14:cfRule>
          <xm:sqref>Q120:R120</xm:sqref>
        </x14:conditionalFormatting>
        <x14:conditionalFormatting xmlns:xm="http://schemas.microsoft.com/office/excel/2006/main">
          <x14:cfRule type="expression" priority="3283" id="{C13FC868-E52F-4756-B818-0A85DAE4126A}">
            <xm:f>$Z$8='Assessment Details'!$Q$23</xm:f>
            <x14:dxf>
              <font>
                <color theme="0"/>
              </font>
              <fill>
                <patternFill>
                  <bgColor theme="0"/>
                </patternFill>
              </fill>
            </x14:dxf>
          </x14:cfRule>
          <xm:sqref>X120:Y120</xm:sqref>
        </x14:conditionalFormatting>
        <x14:conditionalFormatting xmlns:xm="http://schemas.microsoft.com/office/excel/2006/main">
          <x14:cfRule type="expression" priority="3282" id="{88FDF083-3680-4574-BAB7-515BC4B41E56}">
            <xm:f>$Z$8='Assessment Details'!$Q$23</xm:f>
            <x14:dxf>
              <border>
                <left style="thin">
                  <color theme="0"/>
                </left>
                <right style="thin">
                  <color theme="0"/>
                </right>
                <top style="thin">
                  <color theme="0"/>
                </top>
                <bottom style="thin">
                  <color theme="0"/>
                </bottom>
                <vertical/>
                <horizontal/>
              </border>
            </x14:dxf>
          </x14:cfRule>
          <xm:sqref>X120:Y120</xm:sqref>
        </x14:conditionalFormatting>
        <x14:conditionalFormatting xmlns:xm="http://schemas.microsoft.com/office/excel/2006/main">
          <x14:cfRule type="expression" priority="3264" id="{81F3038F-426F-4747-8900-DBE5B652BCC2}">
            <xm:f>$S$8='Assessment Details'!$Q$23</xm:f>
            <x14:dxf>
              <font>
                <color theme="0"/>
              </font>
              <fill>
                <patternFill>
                  <bgColor theme="0"/>
                </patternFill>
              </fill>
              <border>
                <vertical/>
                <horizontal/>
              </border>
            </x14:dxf>
          </x14:cfRule>
          <xm:sqref>Q150:R150</xm:sqref>
        </x14:conditionalFormatting>
        <x14:conditionalFormatting xmlns:xm="http://schemas.microsoft.com/office/excel/2006/main">
          <x14:cfRule type="expression" priority="3263" id="{28CCF0C5-F228-4C53-8E33-EBBA0F28B7CE}">
            <xm:f>$S$8='Assessment Details'!$Q$23</xm:f>
            <x14:dxf>
              <border>
                <left style="thin">
                  <color theme="0"/>
                </left>
                <right style="thin">
                  <color theme="0"/>
                </right>
                <top style="thin">
                  <color theme="0"/>
                </top>
                <bottom style="thin">
                  <color theme="0"/>
                </bottom>
                <vertical/>
                <horizontal/>
              </border>
            </x14:dxf>
          </x14:cfRule>
          <xm:sqref>Q150:R150</xm:sqref>
        </x14:conditionalFormatting>
        <x14:conditionalFormatting xmlns:xm="http://schemas.microsoft.com/office/excel/2006/main">
          <x14:cfRule type="expression" priority="3262" id="{7383BAE4-3D48-4869-9E46-23F6B5EB3A82}">
            <xm:f>$Z$8='Assessment Details'!$Q$23</xm:f>
            <x14:dxf>
              <font>
                <color theme="0"/>
              </font>
              <fill>
                <patternFill>
                  <bgColor theme="0"/>
                </patternFill>
              </fill>
            </x14:dxf>
          </x14:cfRule>
          <xm:sqref>X150:Y150</xm:sqref>
        </x14:conditionalFormatting>
        <x14:conditionalFormatting xmlns:xm="http://schemas.microsoft.com/office/excel/2006/main">
          <x14:cfRule type="expression" priority="3261" id="{FCFE5056-63F8-452F-AED4-120DD2450C0C}">
            <xm:f>$Z$8='Assessment Details'!$Q$23</xm:f>
            <x14:dxf>
              <border>
                <left style="thin">
                  <color theme="0"/>
                </left>
                <right style="thin">
                  <color theme="0"/>
                </right>
                <top style="thin">
                  <color theme="0"/>
                </top>
                <bottom style="thin">
                  <color theme="0"/>
                </bottom>
                <vertical/>
                <horizontal/>
              </border>
            </x14:dxf>
          </x14:cfRule>
          <xm:sqref>X150:Y150</xm:sqref>
        </x14:conditionalFormatting>
        <x14:conditionalFormatting xmlns:xm="http://schemas.microsoft.com/office/excel/2006/main">
          <x14:cfRule type="expression" priority="3243" id="{0444930C-4CE3-44D2-BC81-4C1D88FCCA1B}">
            <xm:f>$S$8='Assessment Details'!$Q$23</xm:f>
            <x14:dxf>
              <font>
                <color theme="0"/>
              </font>
              <fill>
                <patternFill>
                  <bgColor theme="0"/>
                </patternFill>
              </fill>
              <border>
                <vertical/>
                <horizontal/>
              </border>
            </x14:dxf>
          </x14:cfRule>
          <xm:sqref>Q165:R165</xm:sqref>
        </x14:conditionalFormatting>
        <x14:conditionalFormatting xmlns:xm="http://schemas.microsoft.com/office/excel/2006/main">
          <x14:cfRule type="expression" priority="3242" id="{2DBE5A5D-98A8-4AE5-BC54-26B6836E0BC9}">
            <xm:f>$S$8='Assessment Details'!$Q$23</xm:f>
            <x14:dxf>
              <border>
                <left style="thin">
                  <color theme="0"/>
                </left>
                <right style="thin">
                  <color theme="0"/>
                </right>
                <top style="thin">
                  <color theme="0"/>
                </top>
                <bottom style="thin">
                  <color theme="0"/>
                </bottom>
                <vertical/>
                <horizontal/>
              </border>
            </x14:dxf>
          </x14:cfRule>
          <xm:sqref>Q165:R165</xm:sqref>
        </x14:conditionalFormatting>
        <x14:conditionalFormatting xmlns:xm="http://schemas.microsoft.com/office/excel/2006/main">
          <x14:cfRule type="expression" priority="3241" id="{CAF06E05-9020-4AD1-8454-3BB6ED627400}">
            <xm:f>$Z$8='Assessment Details'!$Q$23</xm:f>
            <x14:dxf>
              <font>
                <color theme="0"/>
              </font>
              <fill>
                <patternFill>
                  <bgColor theme="0"/>
                </patternFill>
              </fill>
            </x14:dxf>
          </x14:cfRule>
          <xm:sqref>X165:Y165</xm:sqref>
        </x14:conditionalFormatting>
        <x14:conditionalFormatting xmlns:xm="http://schemas.microsoft.com/office/excel/2006/main">
          <x14:cfRule type="expression" priority="3240" id="{263A6C7E-BA95-4754-8A43-ED99E15179A0}">
            <xm:f>$Z$8='Assessment Details'!$Q$23</xm:f>
            <x14:dxf>
              <border>
                <left style="thin">
                  <color theme="0"/>
                </left>
                <right style="thin">
                  <color theme="0"/>
                </right>
                <top style="thin">
                  <color theme="0"/>
                </top>
                <bottom style="thin">
                  <color theme="0"/>
                </bottom>
                <vertical/>
                <horizontal/>
              </border>
            </x14:dxf>
          </x14:cfRule>
          <xm:sqref>X165:Y165</xm:sqref>
        </x14:conditionalFormatting>
        <x14:conditionalFormatting xmlns:xm="http://schemas.microsoft.com/office/excel/2006/main">
          <x14:cfRule type="expression" priority="3222" id="{CFFC450B-3C88-4BFB-ACDE-B81081183CE2}">
            <xm:f>$S$8='Assessment Details'!$Q$23</xm:f>
            <x14:dxf>
              <font>
                <color theme="0"/>
              </font>
              <fill>
                <patternFill>
                  <bgColor theme="0"/>
                </patternFill>
              </fill>
              <border>
                <vertical/>
                <horizontal/>
              </border>
            </x14:dxf>
          </x14:cfRule>
          <xm:sqref>Q197:R197</xm:sqref>
        </x14:conditionalFormatting>
        <x14:conditionalFormatting xmlns:xm="http://schemas.microsoft.com/office/excel/2006/main">
          <x14:cfRule type="expression" priority="3221" id="{2DEBF06C-E242-4F1F-A859-338D0E5EDD24}">
            <xm:f>$S$8='Assessment Details'!$Q$23</xm:f>
            <x14:dxf>
              <border>
                <left style="thin">
                  <color theme="0"/>
                </left>
                <right style="thin">
                  <color theme="0"/>
                </right>
                <top style="thin">
                  <color theme="0"/>
                </top>
                <bottom style="thin">
                  <color theme="0"/>
                </bottom>
                <vertical/>
                <horizontal/>
              </border>
            </x14:dxf>
          </x14:cfRule>
          <xm:sqref>Q197:R197</xm:sqref>
        </x14:conditionalFormatting>
        <x14:conditionalFormatting xmlns:xm="http://schemas.microsoft.com/office/excel/2006/main">
          <x14:cfRule type="expression" priority="3220" id="{DEC4FF61-29DE-4AF0-9EA4-ABA92DE9431F}">
            <xm:f>$Z$8='Assessment Details'!$Q$23</xm:f>
            <x14:dxf>
              <font>
                <color theme="0"/>
              </font>
              <fill>
                <patternFill>
                  <bgColor theme="0"/>
                </patternFill>
              </fill>
            </x14:dxf>
          </x14:cfRule>
          <xm:sqref>X197:Y197</xm:sqref>
        </x14:conditionalFormatting>
        <x14:conditionalFormatting xmlns:xm="http://schemas.microsoft.com/office/excel/2006/main">
          <x14:cfRule type="expression" priority="3219" id="{DC296F35-B16D-4F66-B19D-31F96D1F6B50}">
            <xm:f>$Z$8='Assessment Details'!$Q$23</xm:f>
            <x14:dxf>
              <border>
                <left style="thin">
                  <color theme="0"/>
                </left>
                <right style="thin">
                  <color theme="0"/>
                </right>
                <top style="thin">
                  <color theme="0"/>
                </top>
                <bottom style="thin">
                  <color theme="0"/>
                </bottom>
                <vertical/>
                <horizontal/>
              </border>
            </x14:dxf>
          </x14:cfRule>
          <xm:sqref>X197:Y197</xm:sqref>
        </x14:conditionalFormatting>
        <x14:conditionalFormatting xmlns:xm="http://schemas.microsoft.com/office/excel/2006/main">
          <x14:cfRule type="expression" priority="3205" id="{6A17C14E-95CA-4F1C-941A-66E9A1A1F0C1}">
            <xm:f>$S$8='Assessment Details'!$Q$23</xm:f>
            <x14:dxf>
              <font>
                <color theme="0"/>
              </font>
              <fill>
                <patternFill>
                  <bgColor theme="0"/>
                </patternFill>
              </fill>
              <border>
                <vertical/>
                <horizontal/>
              </border>
            </x14:dxf>
          </x14:cfRule>
          <xm:sqref>Q47:R47</xm:sqref>
        </x14:conditionalFormatting>
        <x14:conditionalFormatting xmlns:xm="http://schemas.microsoft.com/office/excel/2006/main">
          <x14:cfRule type="expression" priority="3204" id="{F769F6F4-F7AE-411A-9AB4-D2BEE81131E4}">
            <xm:f>$S$8='Assessment Details'!$Q$23</xm:f>
            <x14:dxf>
              <border>
                <left style="thin">
                  <color theme="0"/>
                </left>
                <right style="thin">
                  <color theme="0"/>
                </right>
                <top style="thin">
                  <color theme="0"/>
                </top>
                <bottom style="thin">
                  <color theme="0"/>
                </bottom>
                <vertical/>
                <horizontal/>
              </border>
            </x14:dxf>
          </x14:cfRule>
          <xm:sqref>Q47:R47</xm:sqref>
        </x14:conditionalFormatting>
        <x14:conditionalFormatting xmlns:xm="http://schemas.microsoft.com/office/excel/2006/main">
          <x14:cfRule type="expression" priority="3203" id="{A0788221-5360-4C20-8F7C-C13BEF4AB25B}">
            <xm:f>$Z$8='Assessment Details'!$Q$23</xm:f>
            <x14:dxf>
              <font>
                <color theme="0"/>
              </font>
              <fill>
                <patternFill>
                  <bgColor theme="0"/>
                </patternFill>
              </fill>
            </x14:dxf>
          </x14:cfRule>
          <xm:sqref>X47:Y47</xm:sqref>
        </x14:conditionalFormatting>
        <x14:conditionalFormatting xmlns:xm="http://schemas.microsoft.com/office/excel/2006/main">
          <x14:cfRule type="expression" priority="3202" id="{63B44E60-F62E-48F7-B912-3C336492CDB7}">
            <xm:f>$Z$8='Assessment Details'!$Q$23</xm:f>
            <x14:dxf>
              <border>
                <left style="thin">
                  <color theme="0"/>
                </left>
                <right style="thin">
                  <color theme="0"/>
                </right>
                <top style="thin">
                  <color theme="0"/>
                </top>
                <bottom style="thin">
                  <color theme="0"/>
                </bottom>
                <vertical/>
                <horizontal/>
              </border>
            </x14:dxf>
          </x14:cfRule>
          <xm:sqref>X47:Y47</xm:sqref>
        </x14:conditionalFormatting>
        <x14:conditionalFormatting xmlns:xm="http://schemas.microsoft.com/office/excel/2006/main">
          <x14:cfRule type="expression" priority="3183" id="{CBDEB4C6-EF37-4241-8BAA-7739B31D5E1D}">
            <xm:f>$S$8='Assessment Details'!$Q$23</xm:f>
            <x14:dxf>
              <font>
                <color theme="0"/>
              </font>
              <fill>
                <patternFill>
                  <bgColor theme="0"/>
                </patternFill>
              </fill>
              <border>
                <vertical/>
                <horizontal/>
              </border>
            </x14:dxf>
          </x14:cfRule>
          <xm:sqref>Q52:R52</xm:sqref>
        </x14:conditionalFormatting>
        <x14:conditionalFormatting xmlns:xm="http://schemas.microsoft.com/office/excel/2006/main">
          <x14:cfRule type="expression" priority="3182" id="{98C9992C-FC97-4376-8F1F-6C25652AA061}">
            <xm:f>$S$8='Assessment Details'!$Q$23</xm:f>
            <x14:dxf>
              <border>
                <left style="thin">
                  <color theme="0"/>
                </left>
                <right style="thin">
                  <color theme="0"/>
                </right>
                <top style="thin">
                  <color theme="0"/>
                </top>
                <bottom style="thin">
                  <color theme="0"/>
                </bottom>
                <vertical/>
                <horizontal/>
              </border>
            </x14:dxf>
          </x14:cfRule>
          <xm:sqref>Q52:R52</xm:sqref>
        </x14:conditionalFormatting>
        <x14:conditionalFormatting xmlns:xm="http://schemas.microsoft.com/office/excel/2006/main">
          <x14:cfRule type="expression" priority="3181" id="{1E0CC94B-D03A-43E3-ABDB-D0627BB41F93}">
            <xm:f>$Z$8='Assessment Details'!$Q$23</xm:f>
            <x14:dxf>
              <font>
                <color theme="0"/>
              </font>
              <fill>
                <patternFill>
                  <bgColor theme="0"/>
                </patternFill>
              </fill>
            </x14:dxf>
          </x14:cfRule>
          <xm:sqref>X52:Y52</xm:sqref>
        </x14:conditionalFormatting>
        <x14:conditionalFormatting xmlns:xm="http://schemas.microsoft.com/office/excel/2006/main">
          <x14:cfRule type="expression" priority="3180" id="{A0BFE9FF-1D5A-44B7-B8CC-374C010E9FD7}">
            <xm:f>$Z$8='Assessment Details'!$Q$23</xm:f>
            <x14:dxf>
              <border>
                <left style="thin">
                  <color theme="0"/>
                </left>
                <right style="thin">
                  <color theme="0"/>
                </right>
                <top style="thin">
                  <color theme="0"/>
                </top>
                <bottom style="thin">
                  <color theme="0"/>
                </bottom>
                <vertical/>
                <horizontal/>
              </border>
            </x14:dxf>
          </x14:cfRule>
          <xm:sqref>X52:Y52</xm:sqref>
        </x14:conditionalFormatting>
        <x14:conditionalFormatting xmlns:xm="http://schemas.microsoft.com/office/excel/2006/main">
          <x14:cfRule type="expression" priority="3161" id="{9315D916-3649-45C8-B0ED-ACFE0A540766}">
            <xm:f>$S$8='Assessment Details'!$Q$23</xm:f>
            <x14:dxf>
              <font>
                <color theme="0"/>
              </font>
              <fill>
                <patternFill>
                  <bgColor theme="0"/>
                </patternFill>
              </fill>
              <border>
                <vertical/>
                <horizontal/>
              </border>
            </x14:dxf>
          </x14:cfRule>
          <xm:sqref>Q56:R56</xm:sqref>
        </x14:conditionalFormatting>
        <x14:conditionalFormatting xmlns:xm="http://schemas.microsoft.com/office/excel/2006/main">
          <x14:cfRule type="expression" priority="3160" id="{AACA57D1-7737-49BB-B036-00DAFF086512}">
            <xm:f>$S$8='Assessment Details'!$Q$23</xm:f>
            <x14:dxf>
              <border>
                <left style="thin">
                  <color theme="0"/>
                </left>
                <right style="thin">
                  <color theme="0"/>
                </right>
                <top style="thin">
                  <color theme="0"/>
                </top>
                <bottom style="thin">
                  <color theme="0"/>
                </bottom>
                <vertical/>
                <horizontal/>
              </border>
            </x14:dxf>
          </x14:cfRule>
          <xm:sqref>Q56:R56</xm:sqref>
        </x14:conditionalFormatting>
        <x14:conditionalFormatting xmlns:xm="http://schemas.microsoft.com/office/excel/2006/main">
          <x14:cfRule type="expression" priority="3159" id="{43C21B87-38F1-427F-A470-0691091C6BDB}">
            <xm:f>$Z$8='Assessment Details'!$Q$23</xm:f>
            <x14:dxf>
              <font>
                <color theme="0"/>
              </font>
              <fill>
                <patternFill>
                  <bgColor theme="0"/>
                </patternFill>
              </fill>
            </x14:dxf>
          </x14:cfRule>
          <xm:sqref>X56:Y56</xm:sqref>
        </x14:conditionalFormatting>
        <x14:conditionalFormatting xmlns:xm="http://schemas.microsoft.com/office/excel/2006/main">
          <x14:cfRule type="expression" priority="3158" id="{DDB11178-A34E-43ED-9082-874182B16AC8}">
            <xm:f>$Z$8='Assessment Details'!$Q$23</xm:f>
            <x14:dxf>
              <border>
                <left style="thin">
                  <color theme="0"/>
                </left>
                <right style="thin">
                  <color theme="0"/>
                </right>
                <top style="thin">
                  <color theme="0"/>
                </top>
                <bottom style="thin">
                  <color theme="0"/>
                </bottom>
                <vertical/>
                <horizontal/>
              </border>
            </x14:dxf>
          </x14:cfRule>
          <xm:sqref>X56:Y56</xm:sqref>
        </x14:conditionalFormatting>
        <x14:conditionalFormatting xmlns:xm="http://schemas.microsoft.com/office/excel/2006/main">
          <x14:cfRule type="expression" priority="3139" id="{2AAD307E-B81E-482C-9484-1DC14EB803E1}">
            <xm:f>$S$8='Assessment Details'!$Q$23</xm:f>
            <x14:dxf>
              <font>
                <color theme="0"/>
              </font>
              <fill>
                <patternFill>
                  <bgColor theme="0"/>
                </patternFill>
              </fill>
              <border>
                <vertical/>
                <horizontal/>
              </border>
            </x14:dxf>
          </x14:cfRule>
          <xm:sqref>Q59:R59</xm:sqref>
        </x14:conditionalFormatting>
        <x14:conditionalFormatting xmlns:xm="http://schemas.microsoft.com/office/excel/2006/main">
          <x14:cfRule type="expression" priority="3138" id="{C6779728-8D99-4A90-B6F0-6A91A235055A}">
            <xm:f>$S$8='Assessment Details'!$Q$23</xm:f>
            <x14:dxf>
              <border>
                <left style="thin">
                  <color theme="0"/>
                </left>
                <right style="thin">
                  <color theme="0"/>
                </right>
                <top style="thin">
                  <color theme="0"/>
                </top>
                <bottom style="thin">
                  <color theme="0"/>
                </bottom>
                <vertical/>
                <horizontal/>
              </border>
            </x14:dxf>
          </x14:cfRule>
          <xm:sqref>Q59:R59</xm:sqref>
        </x14:conditionalFormatting>
        <x14:conditionalFormatting xmlns:xm="http://schemas.microsoft.com/office/excel/2006/main">
          <x14:cfRule type="expression" priority="3137" id="{470EE464-3C4C-46E9-97C4-A37B85B17826}">
            <xm:f>$Z$8='Assessment Details'!$Q$23</xm:f>
            <x14:dxf>
              <font>
                <color theme="0"/>
              </font>
              <fill>
                <patternFill>
                  <bgColor theme="0"/>
                </patternFill>
              </fill>
            </x14:dxf>
          </x14:cfRule>
          <xm:sqref>X59:Y59</xm:sqref>
        </x14:conditionalFormatting>
        <x14:conditionalFormatting xmlns:xm="http://schemas.microsoft.com/office/excel/2006/main">
          <x14:cfRule type="expression" priority="3136" id="{CD4B009A-E5AC-4E20-A4D7-4F7AD941F9AC}">
            <xm:f>$Z$8='Assessment Details'!$Q$23</xm:f>
            <x14:dxf>
              <border>
                <left style="thin">
                  <color theme="0"/>
                </left>
                <right style="thin">
                  <color theme="0"/>
                </right>
                <top style="thin">
                  <color theme="0"/>
                </top>
                <bottom style="thin">
                  <color theme="0"/>
                </bottom>
                <vertical/>
                <horizontal/>
              </border>
            </x14:dxf>
          </x14:cfRule>
          <xm:sqref>X59:Y59</xm:sqref>
        </x14:conditionalFormatting>
        <x14:conditionalFormatting xmlns:xm="http://schemas.microsoft.com/office/excel/2006/main">
          <x14:cfRule type="expression" priority="3117" id="{975964DE-804D-495C-95B4-CA7D3DAF2E82}">
            <xm:f>$S$8='Assessment Details'!$Q$23</xm:f>
            <x14:dxf>
              <font>
                <color theme="0"/>
              </font>
              <fill>
                <patternFill>
                  <bgColor theme="0"/>
                </patternFill>
              </fill>
              <border>
                <vertical/>
                <horizontal/>
              </border>
            </x14:dxf>
          </x14:cfRule>
          <xm:sqref>Q62:R62</xm:sqref>
        </x14:conditionalFormatting>
        <x14:conditionalFormatting xmlns:xm="http://schemas.microsoft.com/office/excel/2006/main">
          <x14:cfRule type="expression" priority="3116" id="{2FD449FD-26A9-4824-9821-933499E607A2}">
            <xm:f>$S$8='Assessment Details'!$Q$23</xm:f>
            <x14:dxf>
              <border>
                <left style="thin">
                  <color theme="0"/>
                </left>
                <right style="thin">
                  <color theme="0"/>
                </right>
                <top style="thin">
                  <color theme="0"/>
                </top>
                <bottom style="thin">
                  <color theme="0"/>
                </bottom>
                <vertical/>
                <horizontal/>
              </border>
            </x14:dxf>
          </x14:cfRule>
          <xm:sqref>Q62:R62</xm:sqref>
        </x14:conditionalFormatting>
        <x14:conditionalFormatting xmlns:xm="http://schemas.microsoft.com/office/excel/2006/main">
          <x14:cfRule type="expression" priority="3115" id="{53218113-CCB3-4635-A5AC-62772AC4C7F2}">
            <xm:f>$Z$8='Assessment Details'!$Q$23</xm:f>
            <x14:dxf>
              <font>
                <color theme="0"/>
              </font>
              <fill>
                <patternFill>
                  <bgColor theme="0"/>
                </patternFill>
              </fill>
            </x14:dxf>
          </x14:cfRule>
          <xm:sqref>X62:Y62</xm:sqref>
        </x14:conditionalFormatting>
        <x14:conditionalFormatting xmlns:xm="http://schemas.microsoft.com/office/excel/2006/main">
          <x14:cfRule type="expression" priority="3114" id="{4569F90B-1D29-4385-89F3-FEF7A6FF3CEB}">
            <xm:f>$Z$8='Assessment Details'!$Q$23</xm:f>
            <x14:dxf>
              <border>
                <left style="thin">
                  <color theme="0"/>
                </left>
                <right style="thin">
                  <color theme="0"/>
                </right>
                <top style="thin">
                  <color theme="0"/>
                </top>
                <bottom style="thin">
                  <color theme="0"/>
                </bottom>
                <vertical/>
                <horizontal/>
              </border>
            </x14:dxf>
          </x14:cfRule>
          <xm:sqref>X62:Y62</xm:sqref>
        </x14:conditionalFormatting>
        <x14:conditionalFormatting xmlns:xm="http://schemas.microsoft.com/office/excel/2006/main">
          <x14:cfRule type="expression" priority="3095" id="{3FE0B8C7-AF59-4BAA-8351-A2283C16C719}">
            <xm:f>$S$8='Assessment Details'!$Q$23</xm:f>
            <x14:dxf>
              <font>
                <color theme="0"/>
              </font>
              <fill>
                <patternFill>
                  <bgColor theme="0"/>
                </patternFill>
              </fill>
              <border>
                <vertical/>
                <horizontal/>
              </border>
            </x14:dxf>
          </x14:cfRule>
          <xm:sqref>Q75:R75</xm:sqref>
        </x14:conditionalFormatting>
        <x14:conditionalFormatting xmlns:xm="http://schemas.microsoft.com/office/excel/2006/main">
          <x14:cfRule type="expression" priority="3094" id="{744A8893-9FB1-48B4-81C7-A924173E43A7}">
            <xm:f>$S$8='Assessment Details'!$Q$23</xm:f>
            <x14:dxf>
              <border>
                <left style="thin">
                  <color theme="0"/>
                </left>
                <right style="thin">
                  <color theme="0"/>
                </right>
                <top style="thin">
                  <color theme="0"/>
                </top>
                <bottom style="thin">
                  <color theme="0"/>
                </bottom>
                <vertical/>
                <horizontal/>
              </border>
            </x14:dxf>
          </x14:cfRule>
          <xm:sqref>Q75:R75</xm:sqref>
        </x14:conditionalFormatting>
        <x14:conditionalFormatting xmlns:xm="http://schemas.microsoft.com/office/excel/2006/main">
          <x14:cfRule type="expression" priority="3093" id="{3397C7F4-C330-4414-AAB9-176876412400}">
            <xm:f>$Z$8='Assessment Details'!$Q$23</xm:f>
            <x14:dxf>
              <font>
                <color theme="0"/>
              </font>
              <fill>
                <patternFill>
                  <bgColor theme="0"/>
                </patternFill>
              </fill>
            </x14:dxf>
          </x14:cfRule>
          <xm:sqref>X75:Y75</xm:sqref>
        </x14:conditionalFormatting>
        <x14:conditionalFormatting xmlns:xm="http://schemas.microsoft.com/office/excel/2006/main">
          <x14:cfRule type="expression" priority="3092" id="{B5042649-6E98-49F5-9F51-BDC5603B9163}">
            <xm:f>$Z$8='Assessment Details'!$Q$23</xm:f>
            <x14:dxf>
              <border>
                <left style="thin">
                  <color theme="0"/>
                </left>
                <right style="thin">
                  <color theme="0"/>
                </right>
                <top style="thin">
                  <color theme="0"/>
                </top>
                <bottom style="thin">
                  <color theme="0"/>
                </bottom>
                <vertical/>
                <horizontal/>
              </border>
            </x14:dxf>
          </x14:cfRule>
          <xm:sqref>X75:Y75</xm:sqref>
        </x14:conditionalFormatting>
        <x14:conditionalFormatting xmlns:xm="http://schemas.microsoft.com/office/excel/2006/main">
          <x14:cfRule type="expression" priority="3073" id="{3BDE55F1-2597-4D5D-B985-F19E1B68F8B3}">
            <xm:f>$S$8='Assessment Details'!$Q$23</xm:f>
            <x14:dxf>
              <font>
                <color theme="0"/>
              </font>
              <fill>
                <patternFill>
                  <bgColor theme="0"/>
                </patternFill>
              </fill>
              <border>
                <vertical/>
                <horizontal/>
              </border>
            </x14:dxf>
          </x14:cfRule>
          <xm:sqref>Q79:R79</xm:sqref>
        </x14:conditionalFormatting>
        <x14:conditionalFormatting xmlns:xm="http://schemas.microsoft.com/office/excel/2006/main">
          <x14:cfRule type="expression" priority="3072" id="{7DB5EF78-5E1D-4CEB-B68B-36F15715CC2C}">
            <xm:f>$S$8='Assessment Details'!$Q$23</xm:f>
            <x14:dxf>
              <border>
                <left style="thin">
                  <color theme="0"/>
                </left>
                <right style="thin">
                  <color theme="0"/>
                </right>
                <top style="thin">
                  <color theme="0"/>
                </top>
                <bottom style="thin">
                  <color theme="0"/>
                </bottom>
                <vertical/>
                <horizontal/>
              </border>
            </x14:dxf>
          </x14:cfRule>
          <xm:sqref>Q79:R79</xm:sqref>
        </x14:conditionalFormatting>
        <x14:conditionalFormatting xmlns:xm="http://schemas.microsoft.com/office/excel/2006/main">
          <x14:cfRule type="expression" priority="3071" id="{B7F673B5-6598-42A2-A4AD-C77751D77902}">
            <xm:f>$Z$8='Assessment Details'!$Q$23</xm:f>
            <x14:dxf>
              <font>
                <color theme="0"/>
              </font>
              <fill>
                <patternFill>
                  <bgColor theme="0"/>
                </patternFill>
              </fill>
            </x14:dxf>
          </x14:cfRule>
          <xm:sqref>X79:Y79</xm:sqref>
        </x14:conditionalFormatting>
        <x14:conditionalFormatting xmlns:xm="http://schemas.microsoft.com/office/excel/2006/main">
          <x14:cfRule type="expression" priority="3070" id="{0D5867F6-0EAC-4D52-8C53-73D8646CD703}">
            <xm:f>$Z$8='Assessment Details'!$Q$23</xm:f>
            <x14:dxf>
              <border>
                <left style="thin">
                  <color theme="0"/>
                </left>
                <right style="thin">
                  <color theme="0"/>
                </right>
                <top style="thin">
                  <color theme="0"/>
                </top>
                <bottom style="thin">
                  <color theme="0"/>
                </bottom>
                <vertical/>
                <horizontal/>
              </border>
            </x14:dxf>
          </x14:cfRule>
          <xm:sqref>X79:Y79</xm:sqref>
        </x14:conditionalFormatting>
        <x14:conditionalFormatting xmlns:xm="http://schemas.microsoft.com/office/excel/2006/main">
          <x14:cfRule type="expression" priority="3051" id="{27B4461D-31DA-46E2-81BE-F64C43193179}">
            <xm:f>$S$8='Assessment Details'!$Q$23</xm:f>
            <x14:dxf>
              <font>
                <color theme="0"/>
              </font>
              <fill>
                <patternFill>
                  <bgColor theme="0"/>
                </patternFill>
              </fill>
              <border>
                <vertical/>
                <horizontal/>
              </border>
            </x14:dxf>
          </x14:cfRule>
          <xm:sqref>Q82:R82</xm:sqref>
        </x14:conditionalFormatting>
        <x14:conditionalFormatting xmlns:xm="http://schemas.microsoft.com/office/excel/2006/main">
          <x14:cfRule type="expression" priority="3050" id="{C7FF73EF-F8DB-4976-826A-87D01FA4BB29}">
            <xm:f>$S$8='Assessment Details'!$Q$23</xm:f>
            <x14:dxf>
              <border>
                <left style="thin">
                  <color theme="0"/>
                </left>
                <right style="thin">
                  <color theme="0"/>
                </right>
                <top style="thin">
                  <color theme="0"/>
                </top>
                <bottom style="thin">
                  <color theme="0"/>
                </bottom>
                <vertical/>
                <horizontal/>
              </border>
            </x14:dxf>
          </x14:cfRule>
          <xm:sqref>Q82:R82</xm:sqref>
        </x14:conditionalFormatting>
        <x14:conditionalFormatting xmlns:xm="http://schemas.microsoft.com/office/excel/2006/main">
          <x14:cfRule type="expression" priority="3049" id="{B65E1349-7466-4A9B-9235-ED83157FA8A1}">
            <xm:f>$Z$8='Assessment Details'!$Q$23</xm:f>
            <x14:dxf>
              <font>
                <color theme="0"/>
              </font>
              <fill>
                <patternFill>
                  <bgColor theme="0"/>
                </patternFill>
              </fill>
            </x14:dxf>
          </x14:cfRule>
          <xm:sqref>X82:Y82</xm:sqref>
        </x14:conditionalFormatting>
        <x14:conditionalFormatting xmlns:xm="http://schemas.microsoft.com/office/excel/2006/main">
          <x14:cfRule type="expression" priority="3048" id="{C3FC58F5-9EF2-45D7-9B97-0D6C18882827}">
            <xm:f>$Z$8='Assessment Details'!$Q$23</xm:f>
            <x14:dxf>
              <border>
                <left style="thin">
                  <color theme="0"/>
                </left>
                <right style="thin">
                  <color theme="0"/>
                </right>
                <top style="thin">
                  <color theme="0"/>
                </top>
                <bottom style="thin">
                  <color theme="0"/>
                </bottom>
                <vertical/>
                <horizontal/>
              </border>
            </x14:dxf>
          </x14:cfRule>
          <xm:sqref>X82:Y82</xm:sqref>
        </x14:conditionalFormatting>
        <x14:conditionalFormatting xmlns:xm="http://schemas.microsoft.com/office/excel/2006/main">
          <x14:cfRule type="expression" priority="3029" id="{1791F121-F855-4494-9F94-201AF776DAE3}">
            <xm:f>$S$8='Assessment Details'!$Q$23</xm:f>
            <x14:dxf>
              <font>
                <color theme="0"/>
              </font>
              <fill>
                <patternFill>
                  <bgColor theme="0"/>
                </patternFill>
              </fill>
              <border>
                <vertical/>
                <horizontal/>
              </border>
            </x14:dxf>
          </x14:cfRule>
          <xm:sqref>Q85:R85</xm:sqref>
        </x14:conditionalFormatting>
        <x14:conditionalFormatting xmlns:xm="http://schemas.microsoft.com/office/excel/2006/main">
          <x14:cfRule type="expression" priority="3028" id="{B3789350-608D-4237-90EF-4E4A0C1BFF10}">
            <xm:f>$S$8='Assessment Details'!$Q$23</xm:f>
            <x14:dxf>
              <border>
                <left style="thin">
                  <color theme="0"/>
                </left>
                <right style="thin">
                  <color theme="0"/>
                </right>
                <top style="thin">
                  <color theme="0"/>
                </top>
                <bottom style="thin">
                  <color theme="0"/>
                </bottom>
                <vertical/>
                <horizontal/>
              </border>
            </x14:dxf>
          </x14:cfRule>
          <xm:sqref>Q85:R85</xm:sqref>
        </x14:conditionalFormatting>
        <x14:conditionalFormatting xmlns:xm="http://schemas.microsoft.com/office/excel/2006/main">
          <x14:cfRule type="expression" priority="3027" id="{F3181B58-DA0D-4CF9-9972-76A8DCE0A3D7}">
            <xm:f>$Z$8='Assessment Details'!$Q$23</xm:f>
            <x14:dxf>
              <font>
                <color theme="0"/>
              </font>
              <fill>
                <patternFill>
                  <bgColor theme="0"/>
                </patternFill>
              </fill>
            </x14:dxf>
          </x14:cfRule>
          <xm:sqref>X85:Y85</xm:sqref>
        </x14:conditionalFormatting>
        <x14:conditionalFormatting xmlns:xm="http://schemas.microsoft.com/office/excel/2006/main">
          <x14:cfRule type="expression" priority="3026" id="{46DB8F0B-5298-45B1-98F7-C31874355151}">
            <xm:f>$Z$8='Assessment Details'!$Q$23</xm:f>
            <x14:dxf>
              <border>
                <left style="thin">
                  <color theme="0"/>
                </left>
                <right style="thin">
                  <color theme="0"/>
                </right>
                <top style="thin">
                  <color theme="0"/>
                </top>
                <bottom style="thin">
                  <color theme="0"/>
                </bottom>
                <vertical/>
                <horizontal/>
              </border>
            </x14:dxf>
          </x14:cfRule>
          <xm:sqref>X85:Y85</xm:sqref>
        </x14:conditionalFormatting>
        <x14:conditionalFormatting xmlns:xm="http://schemas.microsoft.com/office/excel/2006/main">
          <x14:cfRule type="expression" priority="3007" id="{F952D6D0-8EF4-4150-B3DA-A068385BB65C}">
            <xm:f>$S$8='Assessment Details'!$Q$23</xm:f>
            <x14:dxf>
              <font>
                <color theme="0"/>
              </font>
              <fill>
                <patternFill>
                  <bgColor theme="0"/>
                </patternFill>
              </fill>
              <border>
                <vertical/>
                <horizontal/>
              </border>
            </x14:dxf>
          </x14:cfRule>
          <xm:sqref>Q89:R89</xm:sqref>
        </x14:conditionalFormatting>
        <x14:conditionalFormatting xmlns:xm="http://schemas.microsoft.com/office/excel/2006/main">
          <x14:cfRule type="expression" priority="3006" id="{287A3A72-DEEE-4118-9033-6C383B62C6E2}">
            <xm:f>$S$8='Assessment Details'!$Q$23</xm:f>
            <x14:dxf>
              <border>
                <left style="thin">
                  <color theme="0"/>
                </left>
                <right style="thin">
                  <color theme="0"/>
                </right>
                <top style="thin">
                  <color theme="0"/>
                </top>
                <bottom style="thin">
                  <color theme="0"/>
                </bottom>
                <vertical/>
                <horizontal/>
              </border>
            </x14:dxf>
          </x14:cfRule>
          <xm:sqref>Q89:R89</xm:sqref>
        </x14:conditionalFormatting>
        <x14:conditionalFormatting xmlns:xm="http://schemas.microsoft.com/office/excel/2006/main">
          <x14:cfRule type="expression" priority="3005" id="{DEB80DAB-C395-4829-BA97-C8638C1E32C0}">
            <xm:f>$Z$8='Assessment Details'!$Q$23</xm:f>
            <x14:dxf>
              <font>
                <color theme="0"/>
              </font>
              <fill>
                <patternFill>
                  <bgColor theme="0"/>
                </patternFill>
              </fill>
            </x14:dxf>
          </x14:cfRule>
          <xm:sqref>X89:Y89</xm:sqref>
        </x14:conditionalFormatting>
        <x14:conditionalFormatting xmlns:xm="http://schemas.microsoft.com/office/excel/2006/main">
          <x14:cfRule type="expression" priority="3004" id="{F4B7C9CF-0F1F-4DA8-A30D-E53E19BC3410}">
            <xm:f>$Z$8='Assessment Details'!$Q$23</xm:f>
            <x14:dxf>
              <border>
                <left style="thin">
                  <color theme="0"/>
                </left>
                <right style="thin">
                  <color theme="0"/>
                </right>
                <top style="thin">
                  <color theme="0"/>
                </top>
                <bottom style="thin">
                  <color theme="0"/>
                </bottom>
                <vertical/>
                <horizontal/>
              </border>
            </x14:dxf>
          </x14:cfRule>
          <xm:sqref>X89:Y89</xm:sqref>
        </x14:conditionalFormatting>
        <x14:conditionalFormatting xmlns:xm="http://schemas.microsoft.com/office/excel/2006/main">
          <x14:cfRule type="expression" priority="2985" id="{961D8DA4-5850-4767-83A9-6460C9102A92}">
            <xm:f>$S$8='Assessment Details'!$Q$23</xm:f>
            <x14:dxf>
              <font>
                <color theme="0"/>
              </font>
              <fill>
                <patternFill>
                  <bgColor theme="0"/>
                </patternFill>
              </fill>
              <border>
                <vertical/>
                <horizontal/>
              </border>
            </x14:dxf>
          </x14:cfRule>
          <xm:sqref>Q92:R92</xm:sqref>
        </x14:conditionalFormatting>
        <x14:conditionalFormatting xmlns:xm="http://schemas.microsoft.com/office/excel/2006/main">
          <x14:cfRule type="expression" priority="2984" id="{4E4153D7-585D-4229-8AF6-15FFFA5E89ED}">
            <xm:f>$S$8='Assessment Details'!$Q$23</xm:f>
            <x14:dxf>
              <border>
                <left style="thin">
                  <color theme="0"/>
                </left>
                <right style="thin">
                  <color theme="0"/>
                </right>
                <top style="thin">
                  <color theme="0"/>
                </top>
                <bottom style="thin">
                  <color theme="0"/>
                </bottom>
                <vertical/>
                <horizontal/>
              </border>
            </x14:dxf>
          </x14:cfRule>
          <xm:sqref>Q92:R92</xm:sqref>
        </x14:conditionalFormatting>
        <x14:conditionalFormatting xmlns:xm="http://schemas.microsoft.com/office/excel/2006/main">
          <x14:cfRule type="expression" priority="2983" id="{546945FE-789B-4145-91AB-89AB7F5B7887}">
            <xm:f>$Z$8='Assessment Details'!$Q$23</xm:f>
            <x14:dxf>
              <font>
                <color theme="0"/>
              </font>
              <fill>
                <patternFill>
                  <bgColor theme="0"/>
                </patternFill>
              </fill>
            </x14:dxf>
          </x14:cfRule>
          <xm:sqref>X92:Y92</xm:sqref>
        </x14:conditionalFormatting>
        <x14:conditionalFormatting xmlns:xm="http://schemas.microsoft.com/office/excel/2006/main">
          <x14:cfRule type="expression" priority="2982" id="{3C90248F-3001-4846-8D99-4366E9FD0587}">
            <xm:f>$Z$8='Assessment Details'!$Q$23</xm:f>
            <x14:dxf>
              <border>
                <left style="thin">
                  <color theme="0"/>
                </left>
                <right style="thin">
                  <color theme="0"/>
                </right>
                <top style="thin">
                  <color theme="0"/>
                </top>
                <bottom style="thin">
                  <color theme="0"/>
                </bottom>
                <vertical/>
                <horizontal/>
              </border>
            </x14:dxf>
          </x14:cfRule>
          <xm:sqref>X92:Y92</xm:sqref>
        </x14:conditionalFormatting>
        <x14:conditionalFormatting xmlns:xm="http://schemas.microsoft.com/office/excel/2006/main">
          <x14:cfRule type="expression" priority="2963" id="{D62D12F7-91F5-4C33-B2F6-02E9E34F189B}">
            <xm:f>$S$8='Assessment Details'!$Q$23</xm:f>
            <x14:dxf>
              <font>
                <color theme="0"/>
              </font>
              <fill>
                <patternFill>
                  <bgColor theme="0"/>
                </patternFill>
              </fill>
              <border>
                <vertical/>
                <horizontal/>
              </border>
            </x14:dxf>
          </x14:cfRule>
          <xm:sqref>Q100:R100</xm:sqref>
        </x14:conditionalFormatting>
        <x14:conditionalFormatting xmlns:xm="http://schemas.microsoft.com/office/excel/2006/main">
          <x14:cfRule type="expression" priority="2962" id="{B31BD4B4-2ACB-4A6B-863D-A1CF793D99E5}">
            <xm:f>$S$8='Assessment Details'!$Q$23</xm:f>
            <x14:dxf>
              <border>
                <left style="thin">
                  <color theme="0"/>
                </left>
                <right style="thin">
                  <color theme="0"/>
                </right>
                <top style="thin">
                  <color theme="0"/>
                </top>
                <bottom style="thin">
                  <color theme="0"/>
                </bottom>
                <vertical/>
                <horizontal/>
              </border>
            </x14:dxf>
          </x14:cfRule>
          <xm:sqref>Q100:R100</xm:sqref>
        </x14:conditionalFormatting>
        <x14:conditionalFormatting xmlns:xm="http://schemas.microsoft.com/office/excel/2006/main">
          <x14:cfRule type="expression" priority="2961" id="{E35249D8-77AB-42D0-82D4-DF7512C38CE8}">
            <xm:f>$Z$8='Assessment Details'!$Q$23</xm:f>
            <x14:dxf>
              <font>
                <color theme="0"/>
              </font>
              <fill>
                <patternFill>
                  <bgColor theme="0"/>
                </patternFill>
              </fill>
            </x14:dxf>
          </x14:cfRule>
          <xm:sqref>X100:Y100</xm:sqref>
        </x14:conditionalFormatting>
        <x14:conditionalFormatting xmlns:xm="http://schemas.microsoft.com/office/excel/2006/main">
          <x14:cfRule type="expression" priority="2960" id="{8EBB8AC1-F587-4556-B14B-72E07A621945}">
            <xm:f>$Z$8='Assessment Details'!$Q$23</xm:f>
            <x14:dxf>
              <border>
                <left style="thin">
                  <color theme="0"/>
                </left>
                <right style="thin">
                  <color theme="0"/>
                </right>
                <top style="thin">
                  <color theme="0"/>
                </top>
                <bottom style="thin">
                  <color theme="0"/>
                </bottom>
                <vertical/>
                <horizontal/>
              </border>
            </x14:dxf>
          </x14:cfRule>
          <xm:sqref>X100:Y100</xm:sqref>
        </x14:conditionalFormatting>
        <x14:conditionalFormatting xmlns:xm="http://schemas.microsoft.com/office/excel/2006/main">
          <x14:cfRule type="expression" priority="2941" id="{36786943-CE38-4D1B-AD09-4CA0C9B83C65}">
            <xm:f>$S$8='Assessment Details'!$Q$23</xm:f>
            <x14:dxf>
              <font>
                <color theme="0"/>
              </font>
              <fill>
                <patternFill>
                  <bgColor theme="0"/>
                </patternFill>
              </fill>
              <border>
                <vertical/>
                <horizontal/>
              </border>
            </x14:dxf>
          </x14:cfRule>
          <xm:sqref>Q109:R109</xm:sqref>
        </x14:conditionalFormatting>
        <x14:conditionalFormatting xmlns:xm="http://schemas.microsoft.com/office/excel/2006/main">
          <x14:cfRule type="expression" priority="2940" id="{AFC0D760-90E6-45F2-B9D7-328784BF02BA}">
            <xm:f>$S$8='Assessment Details'!$Q$23</xm:f>
            <x14:dxf>
              <border>
                <left style="thin">
                  <color theme="0"/>
                </left>
                <right style="thin">
                  <color theme="0"/>
                </right>
                <top style="thin">
                  <color theme="0"/>
                </top>
                <bottom style="thin">
                  <color theme="0"/>
                </bottom>
                <vertical/>
                <horizontal/>
              </border>
            </x14:dxf>
          </x14:cfRule>
          <xm:sqref>Q109:R109</xm:sqref>
        </x14:conditionalFormatting>
        <x14:conditionalFormatting xmlns:xm="http://schemas.microsoft.com/office/excel/2006/main">
          <x14:cfRule type="expression" priority="2939" id="{417D4DDA-A392-4808-B513-CC41C7E21EF1}">
            <xm:f>$Z$8='Assessment Details'!$Q$23</xm:f>
            <x14:dxf>
              <font>
                <color theme="0"/>
              </font>
              <fill>
                <patternFill>
                  <bgColor theme="0"/>
                </patternFill>
              </fill>
            </x14:dxf>
          </x14:cfRule>
          <xm:sqref>X109:Y109</xm:sqref>
        </x14:conditionalFormatting>
        <x14:conditionalFormatting xmlns:xm="http://schemas.microsoft.com/office/excel/2006/main">
          <x14:cfRule type="expression" priority="2938" id="{C42CCBBD-8473-41D6-95BB-8D5DABA8313A}">
            <xm:f>$Z$8='Assessment Details'!$Q$23</xm:f>
            <x14:dxf>
              <border>
                <left style="thin">
                  <color theme="0"/>
                </left>
                <right style="thin">
                  <color theme="0"/>
                </right>
                <top style="thin">
                  <color theme="0"/>
                </top>
                <bottom style="thin">
                  <color theme="0"/>
                </bottom>
                <vertical/>
                <horizontal/>
              </border>
            </x14:dxf>
          </x14:cfRule>
          <xm:sqref>X109:Y109</xm:sqref>
        </x14:conditionalFormatting>
        <x14:conditionalFormatting xmlns:xm="http://schemas.microsoft.com/office/excel/2006/main">
          <x14:cfRule type="expression" priority="2919" id="{5B061993-778C-4B5B-86B1-6227066F6059}">
            <xm:f>$S$8='Assessment Details'!$Q$23</xm:f>
            <x14:dxf>
              <font>
                <color theme="0"/>
              </font>
              <fill>
                <patternFill>
                  <bgColor theme="0"/>
                </patternFill>
              </fill>
              <border>
                <vertical/>
                <horizontal/>
              </border>
            </x14:dxf>
          </x14:cfRule>
          <xm:sqref>Q111:R111</xm:sqref>
        </x14:conditionalFormatting>
        <x14:conditionalFormatting xmlns:xm="http://schemas.microsoft.com/office/excel/2006/main">
          <x14:cfRule type="expression" priority="2918" id="{03AC920A-5094-4B58-B6DA-BC1BAF981E69}">
            <xm:f>$S$8='Assessment Details'!$Q$23</xm:f>
            <x14:dxf>
              <border>
                <left style="thin">
                  <color theme="0"/>
                </left>
                <right style="thin">
                  <color theme="0"/>
                </right>
                <top style="thin">
                  <color theme="0"/>
                </top>
                <bottom style="thin">
                  <color theme="0"/>
                </bottom>
                <vertical/>
                <horizontal/>
              </border>
            </x14:dxf>
          </x14:cfRule>
          <xm:sqref>Q111:R111</xm:sqref>
        </x14:conditionalFormatting>
        <x14:conditionalFormatting xmlns:xm="http://schemas.microsoft.com/office/excel/2006/main">
          <x14:cfRule type="expression" priority="2917" id="{28EFAC08-546E-46CE-832C-FB1076BB4F5D}">
            <xm:f>$Z$8='Assessment Details'!$Q$23</xm:f>
            <x14:dxf>
              <font>
                <color theme="0"/>
              </font>
              <fill>
                <patternFill>
                  <bgColor theme="0"/>
                </patternFill>
              </fill>
            </x14:dxf>
          </x14:cfRule>
          <xm:sqref>X111:Y111</xm:sqref>
        </x14:conditionalFormatting>
        <x14:conditionalFormatting xmlns:xm="http://schemas.microsoft.com/office/excel/2006/main">
          <x14:cfRule type="expression" priority="2916" id="{6921AAE6-76F9-4635-9185-D50BABC080A9}">
            <xm:f>$Z$8='Assessment Details'!$Q$23</xm:f>
            <x14:dxf>
              <border>
                <left style="thin">
                  <color theme="0"/>
                </left>
                <right style="thin">
                  <color theme="0"/>
                </right>
                <top style="thin">
                  <color theme="0"/>
                </top>
                <bottom style="thin">
                  <color theme="0"/>
                </bottom>
                <vertical/>
                <horizontal/>
              </border>
            </x14:dxf>
          </x14:cfRule>
          <xm:sqref>X111:Y111</xm:sqref>
        </x14:conditionalFormatting>
        <x14:conditionalFormatting xmlns:xm="http://schemas.microsoft.com/office/excel/2006/main">
          <x14:cfRule type="expression" priority="2897" id="{D1134714-5ACA-428C-A7C1-04B0913D0057}">
            <xm:f>$S$8='Assessment Details'!$Q$23</xm:f>
            <x14:dxf>
              <font>
                <color theme="0"/>
              </font>
              <fill>
                <patternFill>
                  <bgColor theme="0"/>
                </patternFill>
              </fill>
              <border>
                <vertical/>
                <horizontal/>
              </border>
            </x14:dxf>
          </x14:cfRule>
          <xm:sqref>Q115:R115</xm:sqref>
        </x14:conditionalFormatting>
        <x14:conditionalFormatting xmlns:xm="http://schemas.microsoft.com/office/excel/2006/main">
          <x14:cfRule type="expression" priority="2896" id="{F6F43CAC-D378-472D-8061-FC179388F2A7}">
            <xm:f>$S$8='Assessment Details'!$Q$23</xm:f>
            <x14:dxf>
              <border>
                <left style="thin">
                  <color theme="0"/>
                </left>
                <right style="thin">
                  <color theme="0"/>
                </right>
                <top style="thin">
                  <color theme="0"/>
                </top>
                <bottom style="thin">
                  <color theme="0"/>
                </bottom>
                <vertical/>
                <horizontal/>
              </border>
            </x14:dxf>
          </x14:cfRule>
          <xm:sqref>Q115:R115</xm:sqref>
        </x14:conditionalFormatting>
        <x14:conditionalFormatting xmlns:xm="http://schemas.microsoft.com/office/excel/2006/main">
          <x14:cfRule type="expression" priority="2895" id="{FDA50E11-EB75-4207-BF37-71373B3B9DC8}">
            <xm:f>$Z$8='Assessment Details'!$Q$23</xm:f>
            <x14:dxf>
              <font>
                <color theme="0"/>
              </font>
              <fill>
                <patternFill>
                  <bgColor theme="0"/>
                </patternFill>
              </fill>
            </x14:dxf>
          </x14:cfRule>
          <xm:sqref>X115:Y115</xm:sqref>
        </x14:conditionalFormatting>
        <x14:conditionalFormatting xmlns:xm="http://schemas.microsoft.com/office/excel/2006/main">
          <x14:cfRule type="expression" priority="2894" id="{A7D32BE1-2414-4DC6-9E2E-B77DE8BB00BF}">
            <xm:f>$Z$8='Assessment Details'!$Q$23</xm:f>
            <x14:dxf>
              <border>
                <left style="thin">
                  <color theme="0"/>
                </left>
                <right style="thin">
                  <color theme="0"/>
                </right>
                <top style="thin">
                  <color theme="0"/>
                </top>
                <bottom style="thin">
                  <color theme="0"/>
                </bottom>
                <vertical/>
                <horizontal/>
              </border>
            </x14:dxf>
          </x14:cfRule>
          <xm:sqref>X115:Y115</xm:sqref>
        </x14:conditionalFormatting>
        <x14:conditionalFormatting xmlns:xm="http://schemas.microsoft.com/office/excel/2006/main">
          <x14:cfRule type="expression" priority="2873" id="{F824AB40-DF9B-4943-B19D-4D606A266650}">
            <xm:f>$Z$8='Assessment Details'!$Q$23</xm:f>
            <x14:dxf>
              <font>
                <color theme="0"/>
              </font>
              <fill>
                <patternFill>
                  <bgColor theme="0"/>
                </patternFill>
              </fill>
            </x14:dxf>
          </x14:cfRule>
          <xm:sqref>X124:Y124</xm:sqref>
        </x14:conditionalFormatting>
        <x14:conditionalFormatting xmlns:xm="http://schemas.microsoft.com/office/excel/2006/main">
          <x14:cfRule type="expression" priority="2872" id="{5AE4887A-853F-4A8D-9AC2-B7EBECF7FA58}">
            <xm:f>$Z$8='Assessment Details'!$Q$23</xm:f>
            <x14:dxf>
              <border>
                <left style="thin">
                  <color theme="0"/>
                </left>
                <right style="thin">
                  <color theme="0"/>
                </right>
                <top style="thin">
                  <color theme="0"/>
                </top>
                <bottom style="thin">
                  <color theme="0"/>
                </bottom>
                <vertical/>
                <horizontal/>
              </border>
            </x14:dxf>
          </x14:cfRule>
          <xm:sqref>X124:Y124</xm:sqref>
        </x14:conditionalFormatting>
        <x14:conditionalFormatting xmlns:xm="http://schemas.microsoft.com/office/excel/2006/main">
          <x14:cfRule type="expression" priority="2853" id="{B890570A-82E1-4E0D-A346-6FDDE8DEC1D0}">
            <xm:f>$S$8='Assessment Details'!$Q$23</xm:f>
            <x14:dxf>
              <font>
                <color theme="0"/>
              </font>
              <fill>
                <patternFill>
                  <bgColor theme="0"/>
                </patternFill>
              </fill>
              <border>
                <vertical/>
                <horizontal/>
              </border>
            </x14:dxf>
          </x14:cfRule>
          <xm:sqref>Q128:R128</xm:sqref>
        </x14:conditionalFormatting>
        <x14:conditionalFormatting xmlns:xm="http://schemas.microsoft.com/office/excel/2006/main">
          <x14:cfRule type="expression" priority="2852" id="{A84F30D9-9159-4D9B-A6D6-AB0A728D0FD9}">
            <xm:f>$S$8='Assessment Details'!$Q$23</xm:f>
            <x14:dxf>
              <border>
                <left style="thin">
                  <color theme="0"/>
                </left>
                <right style="thin">
                  <color theme="0"/>
                </right>
                <top style="thin">
                  <color theme="0"/>
                </top>
                <bottom style="thin">
                  <color theme="0"/>
                </bottom>
                <vertical/>
                <horizontal/>
              </border>
            </x14:dxf>
          </x14:cfRule>
          <xm:sqref>Q128:R128</xm:sqref>
        </x14:conditionalFormatting>
        <x14:conditionalFormatting xmlns:xm="http://schemas.microsoft.com/office/excel/2006/main">
          <x14:cfRule type="expression" priority="2851" id="{B373805C-9A92-487B-90FA-EA75D65B2312}">
            <xm:f>$Z$8='Assessment Details'!$Q$23</xm:f>
            <x14:dxf>
              <font>
                <color theme="0"/>
              </font>
              <fill>
                <patternFill>
                  <bgColor theme="0"/>
                </patternFill>
              </fill>
            </x14:dxf>
          </x14:cfRule>
          <xm:sqref>X128:Y128</xm:sqref>
        </x14:conditionalFormatting>
        <x14:conditionalFormatting xmlns:xm="http://schemas.microsoft.com/office/excel/2006/main">
          <x14:cfRule type="expression" priority="2850" id="{6DC4115D-2A4E-4993-AEE3-BC74E9358AE1}">
            <xm:f>$Z$8='Assessment Details'!$Q$23</xm:f>
            <x14:dxf>
              <border>
                <left style="thin">
                  <color theme="0"/>
                </left>
                <right style="thin">
                  <color theme="0"/>
                </right>
                <top style="thin">
                  <color theme="0"/>
                </top>
                <bottom style="thin">
                  <color theme="0"/>
                </bottom>
                <vertical/>
                <horizontal/>
              </border>
            </x14:dxf>
          </x14:cfRule>
          <xm:sqref>X128:Y128</xm:sqref>
        </x14:conditionalFormatting>
        <x14:conditionalFormatting xmlns:xm="http://schemas.microsoft.com/office/excel/2006/main">
          <x14:cfRule type="expression" priority="2831" id="{5B1D4D43-C3DD-4D2B-9A6A-F6209B1558D7}">
            <xm:f>$S$8='Assessment Details'!$Q$23</xm:f>
            <x14:dxf>
              <font>
                <color theme="0"/>
              </font>
              <fill>
                <patternFill>
                  <bgColor theme="0"/>
                </patternFill>
              </fill>
              <border>
                <vertical/>
                <horizontal/>
              </border>
            </x14:dxf>
          </x14:cfRule>
          <xm:sqref>Q132:R132</xm:sqref>
        </x14:conditionalFormatting>
        <x14:conditionalFormatting xmlns:xm="http://schemas.microsoft.com/office/excel/2006/main">
          <x14:cfRule type="expression" priority="2830" id="{C36D7400-7718-4831-B0EF-1BE7F85A803C}">
            <xm:f>$S$8='Assessment Details'!$Q$23</xm:f>
            <x14:dxf>
              <border>
                <left style="thin">
                  <color theme="0"/>
                </left>
                <right style="thin">
                  <color theme="0"/>
                </right>
                <top style="thin">
                  <color theme="0"/>
                </top>
                <bottom style="thin">
                  <color theme="0"/>
                </bottom>
                <vertical/>
                <horizontal/>
              </border>
            </x14:dxf>
          </x14:cfRule>
          <xm:sqref>Q132:R132</xm:sqref>
        </x14:conditionalFormatting>
        <x14:conditionalFormatting xmlns:xm="http://schemas.microsoft.com/office/excel/2006/main">
          <x14:cfRule type="expression" priority="2829" id="{D814B427-0B43-45E3-9FE3-C6F9C171A0A8}">
            <xm:f>$Z$8='Assessment Details'!$Q$23</xm:f>
            <x14:dxf>
              <font>
                <color theme="0"/>
              </font>
              <fill>
                <patternFill>
                  <bgColor theme="0"/>
                </patternFill>
              </fill>
            </x14:dxf>
          </x14:cfRule>
          <xm:sqref>X132:Y132</xm:sqref>
        </x14:conditionalFormatting>
        <x14:conditionalFormatting xmlns:xm="http://schemas.microsoft.com/office/excel/2006/main">
          <x14:cfRule type="expression" priority="2828" id="{AD74782E-F818-4E93-9877-66CD49FD1A9D}">
            <xm:f>$Z$8='Assessment Details'!$Q$23</xm:f>
            <x14:dxf>
              <border>
                <left style="thin">
                  <color theme="0"/>
                </left>
                <right style="thin">
                  <color theme="0"/>
                </right>
                <top style="thin">
                  <color theme="0"/>
                </top>
                <bottom style="thin">
                  <color theme="0"/>
                </bottom>
                <vertical/>
                <horizontal/>
              </border>
            </x14:dxf>
          </x14:cfRule>
          <xm:sqref>X132:Y132</xm:sqref>
        </x14:conditionalFormatting>
        <x14:conditionalFormatting xmlns:xm="http://schemas.microsoft.com/office/excel/2006/main">
          <x14:cfRule type="expression" priority="2809" id="{BC298DA3-0041-4003-A615-CD4D3EEDB4B6}">
            <xm:f>$S$8='Assessment Details'!$Q$23</xm:f>
            <x14:dxf>
              <font>
                <color theme="0"/>
              </font>
              <fill>
                <patternFill>
                  <bgColor theme="0"/>
                </patternFill>
              </fill>
              <border>
                <vertical/>
                <horizontal/>
              </border>
            </x14:dxf>
          </x14:cfRule>
          <xm:sqref>Q138:R138</xm:sqref>
        </x14:conditionalFormatting>
        <x14:conditionalFormatting xmlns:xm="http://schemas.microsoft.com/office/excel/2006/main">
          <x14:cfRule type="expression" priority="2808" id="{3E63224B-5F70-4FC7-A1D0-C81E47FBAF20}">
            <xm:f>$S$8='Assessment Details'!$Q$23</xm:f>
            <x14:dxf>
              <border>
                <left style="thin">
                  <color theme="0"/>
                </left>
                <right style="thin">
                  <color theme="0"/>
                </right>
                <top style="thin">
                  <color theme="0"/>
                </top>
                <bottom style="thin">
                  <color theme="0"/>
                </bottom>
                <vertical/>
                <horizontal/>
              </border>
            </x14:dxf>
          </x14:cfRule>
          <xm:sqref>Q138:R138</xm:sqref>
        </x14:conditionalFormatting>
        <x14:conditionalFormatting xmlns:xm="http://schemas.microsoft.com/office/excel/2006/main">
          <x14:cfRule type="expression" priority="2807" id="{854B2689-4B93-4F46-880E-26136D1313FF}">
            <xm:f>$Z$8='Assessment Details'!$Q$23</xm:f>
            <x14:dxf>
              <font>
                <color theme="0"/>
              </font>
              <fill>
                <patternFill>
                  <bgColor theme="0"/>
                </patternFill>
              </fill>
            </x14:dxf>
          </x14:cfRule>
          <xm:sqref>X138:Y138</xm:sqref>
        </x14:conditionalFormatting>
        <x14:conditionalFormatting xmlns:xm="http://schemas.microsoft.com/office/excel/2006/main">
          <x14:cfRule type="expression" priority="2806" id="{FCDA394D-E604-49EE-BC6B-CBA163DD9F4F}">
            <xm:f>$Z$8='Assessment Details'!$Q$23</xm:f>
            <x14:dxf>
              <border>
                <left style="thin">
                  <color theme="0"/>
                </left>
                <right style="thin">
                  <color theme="0"/>
                </right>
                <top style="thin">
                  <color theme="0"/>
                </top>
                <bottom style="thin">
                  <color theme="0"/>
                </bottom>
                <vertical/>
                <horizontal/>
              </border>
            </x14:dxf>
          </x14:cfRule>
          <xm:sqref>X138:Y138</xm:sqref>
        </x14:conditionalFormatting>
        <x14:conditionalFormatting xmlns:xm="http://schemas.microsoft.com/office/excel/2006/main">
          <x14:cfRule type="expression" priority="2787" id="{93E5126A-40F2-49DB-A53F-8972F416241F}">
            <xm:f>$S$8='Assessment Details'!$Q$23</xm:f>
            <x14:dxf>
              <font>
                <color theme="0"/>
              </font>
              <fill>
                <patternFill>
                  <bgColor theme="0"/>
                </patternFill>
              </fill>
              <border>
                <vertical/>
                <horizontal/>
              </border>
            </x14:dxf>
          </x14:cfRule>
          <xm:sqref>Q143:R143</xm:sqref>
        </x14:conditionalFormatting>
        <x14:conditionalFormatting xmlns:xm="http://schemas.microsoft.com/office/excel/2006/main">
          <x14:cfRule type="expression" priority="2786" id="{FC11078C-CDB7-42EA-92FE-8C46E699C37D}">
            <xm:f>$S$8='Assessment Details'!$Q$23</xm:f>
            <x14:dxf>
              <border>
                <left style="thin">
                  <color theme="0"/>
                </left>
                <right style="thin">
                  <color theme="0"/>
                </right>
                <top style="thin">
                  <color theme="0"/>
                </top>
                <bottom style="thin">
                  <color theme="0"/>
                </bottom>
                <vertical/>
                <horizontal/>
              </border>
            </x14:dxf>
          </x14:cfRule>
          <xm:sqref>Q143:R143</xm:sqref>
        </x14:conditionalFormatting>
        <x14:conditionalFormatting xmlns:xm="http://schemas.microsoft.com/office/excel/2006/main">
          <x14:cfRule type="expression" priority="2785" id="{67B61D2D-2974-491A-9C65-BCD655ABDB99}">
            <xm:f>$Z$8='Assessment Details'!$Q$23</xm:f>
            <x14:dxf>
              <font>
                <color theme="0"/>
              </font>
              <fill>
                <patternFill>
                  <bgColor theme="0"/>
                </patternFill>
              </fill>
            </x14:dxf>
          </x14:cfRule>
          <xm:sqref>X143:Y143</xm:sqref>
        </x14:conditionalFormatting>
        <x14:conditionalFormatting xmlns:xm="http://schemas.microsoft.com/office/excel/2006/main">
          <x14:cfRule type="expression" priority="2784" id="{377885CD-D487-4C27-B56A-50673BAAB469}">
            <xm:f>$Z$8='Assessment Details'!$Q$23</xm:f>
            <x14:dxf>
              <border>
                <left style="thin">
                  <color theme="0"/>
                </left>
                <right style="thin">
                  <color theme="0"/>
                </right>
                <top style="thin">
                  <color theme="0"/>
                </top>
                <bottom style="thin">
                  <color theme="0"/>
                </bottom>
                <vertical/>
                <horizontal/>
              </border>
            </x14:dxf>
          </x14:cfRule>
          <xm:sqref>X143:Y143</xm:sqref>
        </x14:conditionalFormatting>
        <x14:conditionalFormatting xmlns:xm="http://schemas.microsoft.com/office/excel/2006/main">
          <x14:cfRule type="expression" priority="2765" id="{0EBD06D7-B286-47FC-BCEB-7DE0EBE21459}">
            <xm:f>$S$8='Assessment Details'!$Q$23</xm:f>
            <x14:dxf>
              <font>
                <color theme="0"/>
              </font>
              <fill>
                <patternFill>
                  <bgColor theme="0"/>
                </patternFill>
              </fill>
              <border>
                <vertical/>
                <horizontal/>
              </border>
            </x14:dxf>
          </x14:cfRule>
          <xm:sqref>Q156:R156</xm:sqref>
        </x14:conditionalFormatting>
        <x14:conditionalFormatting xmlns:xm="http://schemas.microsoft.com/office/excel/2006/main">
          <x14:cfRule type="expression" priority="2764" id="{4A947A86-3930-4E01-91A9-88AAA98761F4}">
            <xm:f>$S$8='Assessment Details'!$Q$23</xm:f>
            <x14:dxf>
              <border>
                <left style="thin">
                  <color theme="0"/>
                </left>
                <right style="thin">
                  <color theme="0"/>
                </right>
                <top style="thin">
                  <color theme="0"/>
                </top>
                <bottom style="thin">
                  <color theme="0"/>
                </bottom>
                <vertical/>
                <horizontal/>
              </border>
            </x14:dxf>
          </x14:cfRule>
          <xm:sqref>Q156:R156</xm:sqref>
        </x14:conditionalFormatting>
        <x14:conditionalFormatting xmlns:xm="http://schemas.microsoft.com/office/excel/2006/main">
          <x14:cfRule type="expression" priority="2763" id="{CE9D4D00-9F28-4C90-BFDC-AF0BB4878934}">
            <xm:f>$Z$8='Assessment Details'!$Q$23</xm:f>
            <x14:dxf>
              <font>
                <color theme="0"/>
              </font>
              <fill>
                <patternFill>
                  <bgColor theme="0"/>
                </patternFill>
              </fill>
            </x14:dxf>
          </x14:cfRule>
          <xm:sqref>X156:Y156</xm:sqref>
        </x14:conditionalFormatting>
        <x14:conditionalFormatting xmlns:xm="http://schemas.microsoft.com/office/excel/2006/main">
          <x14:cfRule type="expression" priority="2762" id="{9F7F0A66-7030-4DBA-914D-44DAE2A50D67}">
            <xm:f>$Z$8='Assessment Details'!$Q$23</xm:f>
            <x14:dxf>
              <border>
                <left style="thin">
                  <color theme="0"/>
                </left>
                <right style="thin">
                  <color theme="0"/>
                </right>
                <top style="thin">
                  <color theme="0"/>
                </top>
                <bottom style="thin">
                  <color theme="0"/>
                </bottom>
                <vertical/>
                <horizontal/>
              </border>
            </x14:dxf>
          </x14:cfRule>
          <xm:sqref>X156:Y156</xm:sqref>
        </x14:conditionalFormatting>
        <x14:conditionalFormatting xmlns:xm="http://schemas.microsoft.com/office/excel/2006/main">
          <x14:cfRule type="expression" priority="2743" id="{C699121D-3149-497E-A3AB-E5903A92AE07}">
            <xm:f>$S$8='Assessment Details'!$Q$23</xm:f>
            <x14:dxf>
              <font>
                <color theme="0"/>
              </font>
              <fill>
                <patternFill>
                  <bgColor theme="0"/>
                </patternFill>
              </fill>
              <border>
                <vertical/>
                <horizontal/>
              </border>
            </x14:dxf>
          </x14:cfRule>
          <xm:sqref>Q158:R158</xm:sqref>
        </x14:conditionalFormatting>
        <x14:conditionalFormatting xmlns:xm="http://schemas.microsoft.com/office/excel/2006/main">
          <x14:cfRule type="expression" priority="2742" id="{401463BB-30CD-45BB-8394-CDB65C151285}">
            <xm:f>$S$8='Assessment Details'!$Q$23</xm:f>
            <x14:dxf>
              <border>
                <left style="thin">
                  <color theme="0"/>
                </left>
                <right style="thin">
                  <color theme="0"/>
                </right>
                <top style="thin">
                  <color theme="0"/>
                </top>
                <bottom style="thin">
                  <color theme="0"/>
                </bottom>
                <vertical/>
                <horizontal/>
              </border>
            </x14:dxf>
          </x14:cfRule>
          <xm:sqref>Q158:R158</xm:sqref>
        </x14:conditionalFormatting>
        <x14:conditionalFormatting xmlns:xm="http://schemas.microsoft.com/office/excel/2006/main">
          <x14:cfRule type="expression" priority="2741" id="{438AA3BA-C3CF-426C-B4DE-E5D8AB3405FA}">
            <xm:f>$Z$8='Assessment Details'!$Q$23</xm:f>
            <x14:dxf>
              <font>
                <color theme="0"/>
              </font>
              <fill>
                <patternFill>
                  <bgColor theme="0"/>
                </patternFill>
              </fill>
            </x14:dxf>
          </x14:cfRule>
          <xm:sqref>X158:Y158</xm:sqref>
        </x14:conditionalFormatting>
        <x14:conditionalFormatting xmlns:xm="http://schemas.microsoft.com/office/excel/2006/main">
          <x14:cfRule type="expression" priority="2740" id="{E2AC534E-4298-4E4C-AA35-BFF073C12C54}">
            <xm:f>$Z$8='Assessment Details'!$Q$23</xm:f>
            <x14:dxf>
              <border>
                <left style="thin">
                  <color theme="0"/>
                </left>
                <right style="thin">
                  <color theme="0"/>
                </right>
                <top style="thin">
                  <color theme="0"/>
                </top>
                <bottom style="thin">
                  <color theme="0"/>
                </bottom>
                <vertical/>
                <horizontal/>
              </border>
            </x14:dxf>
          </x14:cfRule>
          <xm:sqref>X158:Y158</xm:sqref>
        </x14:conditionalFormatting>
        <x14:conditionalFormatting xmlns:xm="http://schemas.microsoft.com/office/excel/2006/main">
          <x14:cfRule type="expression" priority="2721" id="{58EA91C2-F4B4-4BCD-A5AC-E3CB8D00696E}">
            <xm:f>$S$8='Assessment Details'!$Q$23</xm:f>
            <x14:dxf>
              <font>
                <color theme="0"/>
              </font>
              <fill>
                <patternFill>
                  <bgColor theme="0"/>
                </patternFill>
              </fill>
              <border>
                <vertical/>
                <horizontal/>
              </border>
            </x14:dxf>
          </x14:cfRule>
          <xm:sqref>Q160:R160</xm:sqref>
        </x14:conditionalFormatting>
        <x14:conditionalFormatting xmlns:xm="http://schemas.microsoft.com/office/excel/2006/main">
          <x14:cfRule type="expression" priority="2720" id="{D6696C5C-DACD-4563-9702-21A1ADF72218}">
            <xm:f>$S$8='Assessment Details'!$Q$23</xm:f>
            <x14:dxf>
              <border>
                <left style="thin">
                  <color theme="0"/>
                </left>
                <right style="thin">
                  <color theme="0"/>
                </right>
                <top style="thin">
                  <color theme="0"/>
                </top>
                <bottom style="thin">
                  <color theme="0"/>
                </bottom>
                <vertical/>
                <horizontal/>
              </border>
            </x14:dxf>
          </x14:cfRule>
          <xm:sqref>Q160:R160</xm:sqref>
        </x14:conditionalFormatting>
        <x14:conditionalFormatting xmlns:xm="http://schemas.microsoft.com/office/excel/2006/main">
          <x14:cfRule type="expression" priority="2719" id="{0A624E6F-D2F5-466B-AE49-70D18C402F62}">
            <xm:f>$Z$8='Assessment Details'!$Q$23</xm:f>
            <x14:dxf>
              <font>
                <color theme="0"/>
              </font>
              <fill>
                <patternFill>
                  <bgColor theme="0"/>
                </patternFill>
              </fill>
            </x14:dxf>
          </x14:cfRule>
          <xm:sqref>X160:Y160</xm:sqref>
        </x14:conditionalFormatting>
        <x14:conditionalFormatting xmlns:xm="http://schemas.microsoft.com/office/excel/2006/main">
          <x14:cfRule type="expression" priority="2718" id="{D2605DE7-EB0B-41EE-9545-33B6F3D412FE}">
            <xm:f>$Z$8='Assessment Details'!$Q$23</xm:f>
            <x14:dxf>
              <border>
                <left style="thin">
                  <color theme="0"/>
                </left>
                <right style="thin">
                  <color theme="0"/>
                </right>
                <top style="thin">
                  <color theme="0"/>
                </top>
                <bottom style="thin">
                  <color theme="0"/>
                </bottom>
                <vertical/>
                <horizontal/>
              </border>
            </x14:dxf>
          </x14:cfRule>
          <xm:sqref>X160:Y160</xm:sqref>
        </x14:conditionalFormatting>
        <x14:conditionalFormatting xmlns:xm="http://schemas.microsoft.com/office/excel/2006/main">
          <x14:cfRule type="expression" priority="2699" id="{5085BEE2-F280-4D62-BA43-B519A5B40CF4}">
            <xm:f>$S$8='Assessment Details'!$Q$23</xm:f>
            <x14:dxf>
              <font>
                <color theme="0"/>
              </font>
              <fill>
                <patternFill>
                  <bgColor theme="0"/>
                </patternFill>
              </fill>
              <border>
                <vertical/>
                <horizontal/>
              </border>
            </x14:dxf>
          </x14:cfRule>
          <xm:sqref>Q168:R168</xm:sqref>
        </x14:conditionalFormatting>
        <x14:conditionalFormatting xmlns:xm="http://schemas.microsoft.com/office/excel/2006/main">
          <x14:cfRule type="expression" priority="2698" id="{79EB9484-1E31-4C0F-ADDB-0CFCD9441EE2}">
            <xm:f>$S$8='Assessment Details'!$Q$23</xm:f>
            <x14:dxf>
              <border>
                <left style="thin">
                  <color theme="0"/>
                </left>
                <right style="thin">
                  <color theme="0"/>
                </right>
                <top style="thin">
                  <color theme="0"/>
                </top>
                <bottom style="thin">
                  <color theme="0"/>
                </bottom>
                <vertical/>
                <horizontal/>
              </border>
            </x14:dxf>
          </x14:cfRule>
          <xm:sqref>Q168:R168</xm:sqref>
        </x14:conditionalFormatting>
        <x14:conditionalFormatting xmlns:xm="http://schemas.microsoft.com/office/excel/2006/main">
          <x14:cfRule type="expression" priority="2697" id="{5D79AE54-4DC9-4DCA-884C-42876EAB53E2}">
            <xm:f>$Z$8='Assessment Details'!$Q$23</xm:f>
            <x14:dxf>
              <font>
                <color theme="0"/>
              </font>
              <fill>
                <patternFill>
                  <bgColor theme="0"/>
                </patternFill>
              </fill>
            </x14:dxf>
          </x14:cfRule>
          <xm:sqref>X168:Y168</xm:sqref>
        </x14:conditionalFormatting>
        <x14:conditionalFormatting xmlns:xm="http://schemas.microsoft.com/office/excel/2006/main">
          <x14:cfRule type="expression" priority="2696" id="{642EF19E-4E9F-444D-BBE2-E38D5C87ADE9}">
            <xm:f>$Z$8='Assessment Details'!$Q$23</xm:f>
            <x14:dxf>
              <border>
                <left style="thin">
                  <color theme="0"/>
                </left>
                <right style="thin">
                  <color theme="0"/>
                </right>
                <top style="thin">
                  <color theme="0"/>
                </top>
                <bottom style="thin">
                  <color theme="0"/>
                </bottom>
                <vertical/>
                <horizontal/>
              </border>
            </x14:dxf>
          </x14:cfRule>
          <xm:sqref>X168:Y168</xm:sqref>
        </x14:conditionalFormatting>
        <x14:conditionalFormatting xmlns:xm="http://schemas.microsoft.com/office/excel/2006/main">
          <x14:cfRule type="expression" priority="2677" id="{DE222025-3144-4E99-8DE8-CC9624D26BAD}">
            <xm:f>$S$8='Assessment Details'!$Q$23</xm:f>
            <x14:dxf>
              <font>
                <color theme="0"/>
              </font>
              <fill>
                <patternFill>
                  <bgColor theme="0"/>
                </patternFill>
              </fill>
              <border>
                <vertical/>
                <horizontal/>
              </border>
            </x14:dxf>
          </x14:cfRule>
          <xm:sqref>Q172:R173</xm:sqref>
        </x14:conditionalFormatting>
        <x14:conditionalFormatting xmlns:xm="http://schemas.microsoft.com/office/excel/2006/main">
          <x14:cfRule type="expression" priority="2676" id="{86289F27-85BD-4061-BB4F-ADFE71F58198}">
            <xm:f>$S$8='Assessment Details'!$Q$23</xm:f>
            <x14:dxf>
              <border>
                <left style="thin">
                  <color theme="0"/>
                </left>
                <right style="thin">
                  <color theme="0"/>
                </right>
                <top style="thin">
                  <color theme="0"/>
                </top>
                <bottom style="thin">
                  <color theme="0"/>
                </bottom>
                <vertical/>
                <horizontal/>
              </border>
            </x14:dxf>
          </x14:cfRule>
          <xm:sqref>Q172:R173</xm:sqref>
        </x14:conditionalFormatting>
        <x14:conditionalFormatting xmlns:xm="http://schemas.microsoft.com/office/excel/2006/main">
          <x14:cfRule type="expression" priority="2675" id="{F6BF0F31-291D-4A06-82A1-79D9EE908212}">
            <xm:f>$Z$8='Assessment Details'!$Q$23</xm:f>
            <x14:dxf>
              <font>
                <color theme="0"/>
              </font>
              <fill>
                <patternFill>
                  <bgColor theme="0"/>
                </patternFill>
              </fill>
            </x14:dxf>
          </x14:cfRule>
          <xm:sqref>X172:Y173</xm:sqref>
        </x14:conditionalFormatting>
        <x14:conditionalFormatting xmlns:xm="http://schemas.microsoft.com/office/excel/2006/main">
          <x14:cfRule type="expression" priority="2674" id="{A92F8E34-C6A8-4C61-8472-430C9B307BDD}">
            <xm:f>$Z$8='Assessment Details'!$Q$23</xm:f>
            <x14:dxf>
              <border>
                <left style="thin">
                  <color theme="0"/>
                </left>
                <right style="thin">
                  <color theme="0"/>
                </right>
                <top style="thin">
                  <color theme="0"/>
                </top>
                <bottom style="thin">
                  <color theme="0"/>
                </bottom>
                <vertical/>
                <horizontal/>
              </border>
            </x14:dxf>
          </x14:cfRule>
          <xm:sqref>X172:Y173</xm:sqref>
        </x14:conditionalFormatting>
        <x14:conditionalFormatting xmlns:xm="http://schemas.microsoft.com/office/excel/2006/main">
          <x14:cfRule type="expression" priority="2655" id="{03F5AC57-CEE1-4E27-BDCA-705C92F9C04A}">
            <xm:f>$S$8='Assessment Details'!$Q$23</xm:f>
            <x14:dxf>
              <font>
                <color theme="0"/>
              </font>
              <fill>
                <patternFill>
                  <bgColor theme="0"/>
                </patternFill>
              </fill>
              <border>
                <vertical/>
                <horizontal/>
              </border>
            </x14:dxf>
          </x14:cfRule>
          <xm:sqref>Q176:R176</xm:sqref>
        </x14:conditionalFormatting>
        <x14:conditionalFormatting xmlns:xm="http://schemas.microsoft.com/office/excel/2006/main">
          <x14:cfRule type="expression" priority="2654" id="{24796940-0E34-4F8C-B9C3-C0BD5B9D2DE9}">
            <xm:f>$S$8='Assessment Details'!$Q$23</xm:f>
            <x14:dxf>
              <border>
                <left style="thin">
                  <color theme="0"/>
                </left>
                <right style="thin">
                  <color theme="0"/>
                </right>
                <top style="thin">
                  <color theme="0"/>
                </top>
                <bottom style="thin">
                  <color theme="0"/>
                </bottom>
                <vertical/>
                <horizontal/>
              </border>
            </x14:dxf>
          </x14:cfRule>
          <xm:sqref>Q176:R176</xm:sqref>
        </x14:conditionalFormatting>
        <x14:conditionalFormatting xmlns:xm="http://schemas.microsoft.com/office/excel/2006/main">
          <x14:cfRule type="expression" priority="2653" id="{3ACC2B89-684A-484D-B203-D284673DE8A7}">
            <xm:f>$Z$8='Assessment Details'!$Q$23</xm:f>
            <x14:dxf>
              <font>
                <color theme="0"/>
              </font>
              <fill>
                <patternFill>
                  <bgColor theme="0"/>
                </patternFill>
              </fill>
            </x14:dxf>
          </x14:cfRule>
          <xm:sqref>X176:Y176</xm:sqref>
        </x14:conditionalFormatting>
        <x14:conditionalFormatting xmlns:xm="http://schemas.microsoft.com/office/excel/2006/main">
          <x14:cfRule type="expression" priority="2652" id="{D473DCAE-7B09-4CAA-B8DC-5EF1853C823C}">
            <xm:f>$Z$8='Assessment Details'!$Q$23</xm:f>
            <x14:dxf>
              <border>
                <left style="thin">
                  <color theme="0"/>
                </left>
                <right style="thin">
                  <color theme="0"/>
                </right>
                <top style="thin">
                  <color theme="0"/>
                </top>
                <bottom style="thin">
                  <color theme="0"/>
                </bottom>
                <vertical/>
                <horizontal/>
              </border>
            </x14:dxf>
          </x14:cfRule>
          <xm:sqref>X176:Y176</xm:sqref>
        </x14:conditionalFormatting>
        <x14:conditionalFormatting xmlns:xm="http://schemas.microsoft.com/office/excel/2006/main">
          <x14:cfRule type="expression" priority="2633" id="{BB47B5EE-B404-4459-A9DC-7A8F921C40F1}">
            <xm:f>$S$8='Assessment Details'!$Q$23</xm:f>
            <x14:dxf>
              <font>
                <color theme="0"/>
              </font>
              <fill>
                <patternFill>
                  <bgColor theme="0"/>
                </patternFill>
              </fill>
              <border>
                <vertical/>
                <horizontal/>
              </border>
            </x14:dxf>
          </x14:cfRule>
          <xm:sqref>Q180:R180</xm:sqref>
        </x14:conditionalFormatting>
        <x14:conditionalFormatting xmlns:xm="http://schemas.microsoft.com/office/excel/2006/main">
          <x14:cfRule type="expression" priority="2632" id="{1AE651B5-4783-41FA-8F61-2B060157B0C2}">
            <xm:f>$S$8='Assessment Details'!$Q$23</xm:f>
            <x14:dxf>
              <border>
                <left style="thin">
                  <color theme="0"/>
                </left>
                <right style="thin">
                  <color theme="0"/>
                </right>
                <top style="thin">
                  <color theme="0"/>
                </top>
                <bottom style="thin">
                  <color theme="0"/>
                </bottom>
                <vertical/>
                <horizontal/>
              </border>
            </x14:dxf>
          </x14:cfRule>
          <xm:sqref>Q180:R180</xm:sqref>
        </x14:conditionalFormatting>
        <x14:conditionalFormatting xmlns:xm="http://schemas.microsoft.com/office/excel/2006/main">
          <x14:cfRule type="expression" priority="2631" id="{DED99014-4D9C-439F-9304-06140F0CD019}">
            <xm:f>$Z$8='Assessment Details'!$Q$23</xm:f>
            <x14:dxf>
              <font>
                <color theme="0"/>
              </font>
              <fill>
                <patternFill>
                  <bgColor theme="0"/>
                </patternFill>
              </fill>
            </x14:dxf>
          </x14:cfRule>
          <xm:sqref>X180:Y180</xm:sqref>
        </x14:conditionalFormatting>
        <x14:conditionalFormatting xmlns:xm="http://schemas.microsoft.com/office/excel/2006/main">
          <x14:cfRule type="expression" priority="2630" id="{13C7E632-2E9A-469D-944E-F005BDAA0175}">
            <xm:f>$Z$8='Assessment Details'!$Q$23</xm:f>
            <x14:dxf>
              <border>
                <left style="thin">
                  <color theme="0"/>
                </left>
                <right style="thin">
                  <color theme="0"/>
                </right>
                <top style="thin">
                  <color theme="0"/>
                </top>
                <bottom style="thin">
                  <color theme="0"/>
                </bottom>
                <vertical/>
                <horizontal/>
              </border>
            </x14:dxf>
          </x14:cfRule>
          <xm:sqref>X180:Y180</xm:sqref>
        </x14:conditionalFormatting>
        <x14:conditionalFormatting xmlns:xm="http://schemas.microsoft.com/office/excel/2006/main">
          <x14:cfRule type="expression" priority="2611" id="{FF3D70A3-E2F0-4011-AF6E-88CB2A9F4AB2}">
            <xm:f>$S$8='Assessment Details'!$Q$23</xm:f>
            <x14:dxf>
              <font>
                <color theme="0"/>
              </font>
              <fill>
                <patternFill>
                  <bgColor theme="0"/>
                </patternFill>
              </fill>
              <border>
                <vertical/>
                <horizontal/>
              </border>
            </x14:dxf>
          </x14:cfRule>
          <xm:sqref>Q184:R184</xm:sqref>
        </x14:conditionalFormatting>
        <x14:conditionalFormatting xmlns:xm="http://schemas.microsoft.com/office/excel/2006/main">
          <x14:cfRule type="expression" priority="2610" id="{0AE6CF74-4BA9-4FC0-8C0E-F1B16B0742DE}">
            <xm:f>$S$8='Assessment Details'!$Q$23</xm:f>
            <x14:dxf>
              <border>
                <left style="thin">
                  <color theme="0"/>
                </left>
                <right style="thin">
                  <color theme="0"/>
                </right>
                <top style="thin">
                  <color theme="0"/>
                </top>
                <bottom style="thin">
                  <color theme="0"/>
                </bottom>
                <vertical/>
                <horizontal/>
              </border>
            </x14:dxf>
          </x14:cfRule>
          <xm:sqref>Q184:R184</xm:sqref>
        </x14:conditionalFormatting>
        <x14:conditionalFormatting xmlns:xm="http://schemas.microsoft.com/office/excel/2006/main">
          <x14:cfRule type="expression" priority="2609" id="{3D558B44-BBCE-494B-81ED-AB3925E6A5DA}">
            <xm:f>$Z$8='Assessment Details'!$Q$23</xm:f>
            <x14:dxf>
              <font>
                <color theme="0"/>
              </font>
              <fill>
                <patternFill>
                  <bgColor theme="0"/>
                </patternFill>
              </fill>
            </x14:dxf>
          </x14:cfRule>
          <xm:sqref>X184:Y184</xm:sqref>
        </x14:conditionalFormatting>
        <x14:conditionalFormatting xmlns:xm="http://schemas.microsoft.com/office/excel/2006/main">
          <x14:cfRule type="expression" priority="2608" id="{84D843F5-91B5-42FA-A026-5431C2C7E947}">
            <xm:f>$Z$8='Assessment Details'!$Q$23</xm:f>
            <x14:dxf>
              <border>
                <left style="thin">
                  <color theme="0"/>
                </left>
                <right style="thin">
                  <color theme="0"/>
                </right>
                <top style="thin">
                  <color theme="0"/>
                </top>
                <bottom style="thin">
                  <color theme="0"/>
                </bottom>
                <vertical/>
                <horizontal/>
              </border>
            </x14:dxf>
          </x14:cfRule>
          <xm:sqref>X184:Y184</xm:sqref>
        </x14:conditionalFormatting>
        <x14:conditionalFormatting xmlns:xm="http://schemas.microsoft.com/office/excel/2006/main">
          <x14:cfRule type="expression" priority="2589" id="{A5C32B32-ED52-48B4-9A25-BD04F4A1AB84}">
            <xm:f>$S$8='Assessment Details'!$Q$23</xm:f>
            <x14:dxf>
              <font>
                <color theme="0"/>
              </font>
              <fill>
                <patternFill>
                  <bgColor theme="0"/>
                </patternFill>
              </fill>
              <border>
                <vertical/>
                <horizontal/>
              </border>
            </x14:dxf>
          </x14:cfRule>
          <xm:sqref>Q186:R186</xm:sqref>
        </x14:conditionalFormatting>
        <x14:conditionalFormatting xmlns:xm="http://schemas.microsoft.com/office/excel/2006/main">
          <x14:cfRule type="expression" priority="2588" id="{D0ABD19C-8EA4-4E11-9305-339EFFA32B58}">
            <xm:f>$S$8='Assessment Details'!$Q$23</xm:f>
            <x14:dxf>
              <border>
                <left style="thin">
                  <color theme="0"/>
                </left>
                <right style="thin">
                  <color theme="0"/>
                </right>
                <top style="thin">
                  <color theme="0"/>
                </top>
                <bottom style="thin">
                  <color theme="0"/>
                </bottom>
                <vertical/>
                <horizontal/>
              </border>
            </x14:dxf>
          </x14:cfRule>
          <xm:sqref>Q186:R186</xm:sqref>
        </x14:conditionalFormatting>
        <x14:conditionalFormatting xmlns:xm="http://schemas.microsoft.com/office/excel/2006/main">
          <x14:cfRule type="expression" priority="2587" id="{BA58B041-1F21-4BB2-8FF2-1A88031ECC97}">
            <xm:f>$Z$8='Assessment Details'!$Q$23</xm:f>
            <x14:dxf>
              <font>
                <color theme="0"/>
              </font>
              <fill>
                <patternFill>
                  <bgColor theme="0"/>
                </patternFill>
              </fill>
            </x14:dxf>
          </x14:cfRule>
          <xm:sqref>X186:Y186</xm:sqref>
        </x14:conditionalFormatting>
        <x14:conditionalFormatting xmlns:xm="http://schemas.microsoft.com/office/excel/2006/main">
          <x14:cfRule type="expression" priority="2586" id="{FFD8CAF1-C0B2-45CA-86ED-DA08BCA48491}">
            <xm:f>$Z$8='Assessment Details'!$Q$23</xm:f>
            <x14:dxf>
              <border>
                <left style="thin">
                  <color theme="0"/>
                </left>
                <right style="thin">
                  <color theme="0"/>
                </right>
                <top style="thin">
                  <color theme="0"/>
                </top>
                <bottom style="thin">
                  <color theme="0"/>
                </bottom>
                <vertical/>
                <horizontal/>
              </border>
            </x14:dxf>
          </x14:cfRule>
          <xm:sqref>X186:Y186</xm:sqref>
        </x14:conditionalFormatting>
        <x14:conditionalFormatting xmlns:xm="http://schemas.microsoft.com/office/excel/2006/main">
          <x14:cfRule type="expression" priority="2567" id="{A5CBEBC7-91C4-4779-A03E-ED4532776B98}">
            <xm:f>$S$8='Assessment Details'!$Q$23</xm:f>
            <x14:dxf>
              <font>
                <color theme="0"/>
              </font>
              <fill>
                <patternFill>
                  <bgColor theme="0"/>
                </patternFill>
              </fill>
              <border>
                <vertical/>
                <horizontal/>
              </border>
            </x14:dxf>
          </x14:cfRule>
          <xm:sqref>Q189:R189</xm:sqref>
        </x14:conditionalFormatting>
        <x14:conditionalFormatting xmlns:xm="http://schemas.microsoft.com/office/excel/2006/main">
          <x14:cfRule type="expression" priority="2566" id="{7FC9FA78-CB01-4454-ACDB-92F5DA583170}">
            <xm:f>$S$8='Assessment Details'!$Q$23</xm:f>
            <x14:dxf>
              <border>
                <left style="thin">
                  <color theme="0"/>
                </left>
                <right style="thin">
                  <color theme="0"/>
                </right>
                <top style="thin">
                  <color theme="0"/>
                </top>
                <bottom style="thin">
                  <color theme="0"/>
                </bottom>
                <vertical/>
                <horizontal/>
              </border>
            </x14:dxf>
          </x14:cfRule>
          <xm:sqref>Q189:R189</xm:sqref>
        </x14:conditionalFormatting>
        <x14:conditionalFormatting xmlns:xm="http://schemas.microsoft.com/office/excel/2006/main">
          <x14:cfRule type="expression" priority="2565" id="{82F3A0CF-3445-445E-8A01-3FAB2A216AD4}">
            <xm:f>$Z$8='Assessment Details'!$Q$23</xm:f>
            <x14:dxf>
              <font>
                <color theme="0"/>
              </font>
              <fill>
                <patternFill>
                  <bgColor theme="0"/>
                </patternFill>
              </fill>
            </x14:dxf>
          </x14:cfRule>
          <xm:sqref>X189:Y189</xm:sqref>
        </x14:conditionalFormatting>
        <x14:conditionalFormatting xmlns:xm="http://schemas.microsoft.com/office/excel/2006/main">
          <x14:cfRule type="expression" priority="2564" id="{2D0F7A81-CB6F-46F2-8FF4-B9BE8086BF64}">
            <xm:f>$Z$8='Assessment Details'!$Q$23</xm:f>
            <x14:dxf>
              <border>
                <left style="thin">
                  <color theme="0"/>
                </left>
                <right style="thin">
                  <color theme="0"/>
                </right>
                <top style="thin">
                  <color theme="0"/>
                </top>
                <bottom style="thin">
                  <color theme="0"/>
                </bottom>
                <vertical/>
                <horizontal/>
              </border>
            </x14:dxf>
          </x14:cfRule>
          <xm:sqref>X189:Y189</xm:sqref>
        </x14:conditionalFormatting>
        <x14:conditionalFormatting xmlns:xm="http://schemas.microsoft.com/office/excel/2006/main">
          <x14:cfRule type="expression" priority="2545" id="{37A99355-9BE5-4679-964D-6ED8844998FD}">
            <xm:f>$S$8='Assessment Details'!$Q$23</xm:f>
            <x14:dxf>
              <font>
                <color theme="0"/>
              </font>
              <fill>
                <patternFill>
                  <bgColor theme="0"/>
                </patternFill>
              </fill>
              <border>
                <vertical/>
                <horizontal/>
              </border>
            </x14:dxf>
          </x14:cfRule>
          <xm:sqref>Q202:R202</xm:sqref>
        </x14:conditionalFormatting>
        <x14:conditionalFormatting xmlns:xm="http://schemas.microsoft.com/office/excel/2006/main">
          <x14:cfRule type="expression" priority="2544" id="{5B05A962-0B31-42C0-A29B-4FBC9AAFC702}">
            <xm:f>$S$8='Assessment Details'!$Q$23</xm:f>
            <x14:dxf>
              <border>
                <left style="thin">
                  <color theme="0"/>
                </left>
                <right style="thin">
                  <color theme="0"/>
                </right>
                <top style="thin">
                  <color theme="0"/>
                </top>
                <bottom style="thin">
                  <color theme="0"/>
                </bottom>
                <vertical/>
                <horizontal/>
              </border>
            </x14:dxf>
          </x14:cfRule>
          <xm:sqref>Q202:R202</xm:sqref>
        </x14:conditionalFormatting>
        <x14:conditionalFormatting xmlns:xm="http://schemas.microsoft.com/office/excel/2006/main">
          <x14:cfRule type="expression" priority="2543" id="{9FC6A7DA-9094-46D8-A8FC-A8B87FCE7D2B}">
            <xm:f>$Z$8='Assessment Details'!$Q$23</xm:f>
            <x14:dxf>
              <font>
                <color theme="0"/>
              </font>
              <fill>
                <patternFill>
                  <bgColor theme="0"/>
                </patternFill>
              </fill>
            </x14:dxf>
          </x14:cfRule>
          <xm:sqref>X202:Y202</xm:sqref>
        </x14:conditionalFormatting>
        <x14:conditionalFormatting xmlns:xm="http://schemas.microsoft.com/office/excel/2006/main">
          <x14:cfRule type="expression" priority="2542" id="{8C4FD2FA-C583-4CB4-80D9-8386039D5546}">
            <xm:f>$Z$8='Assessment Details'!$Q$23</xm:f>
            <x14:dxf>
              <border>
                <left style="thin">
                  <color theme="0"/>
                </left>
                <right style="thin">
                  <color theme="0"/>
                </right>
                <top style="thin">
                  <color theme="0"/>
                </top>
                <bottom style="thin">
                  <color theme="0"/>
                </bottom>
                <vertical/>
                <horizontal/>
              </border>
            </x14:dxf>
          </x14:cfRule>
          <xm:sqref>X202:Y202</xm:sqref>
        </x14:conditionalFormatting>
        <x14:conditionalFormatting xmlns:xm="http://schemas.microsoft.com/office/excel/2006/main">
          <x14:cfRule type="expression" priority="2523" id="{D7D360FE-8CC6-4803-A70B-CAE7A8DA2370}">
            <xm:f>$S$8='Assessment Details'!$Q$23</xm:f>
            <x14:dxf>
              <font>
                <color theme="0"/>
              </font>
              <fill>
                <patternFill>
                  <bgColor theme="0"/>
                </patternFill>
              </fill>
              <border>
                <vertical/>
                <horizontal/>
              </border>
            </x14:dxf>
          </x14:cfRule>
          <xm:sqref>Q205:R205</xm:sqref>
        </x14:conditionalFormatting>
        <x14:conditionalFormatting xmlns:xm="http://schemas.microsoft.com/office/excel/2006/main">
          <x14:cfRule type="expression" priority="2522" id="{361DB25F-D381-4DF6-8113-61F256A63FFD}">
            <xm:f>$S$8='Assessment Details'!$Q$23</xm:f>
            <x14:dxf>
              <border>
                <left style="thin">
                  <color theme="0"/>
                </left>
                <right style="thin">
                  <color theme="0"/>
                </right>
                <top style="thin">
                  <color theme="0"/>
                </top>
                <bottom style="thin">
                  <color theme="0"/>
                </bottom>
                <vertical/>
                <horizontal/>
              </border>
            </x14:dxf>
          </x14:cfRule>
          <xm:sqref>Q205:R205</xm:sqref>
        </x14:conditionalFormatting>
        <x14:conditionalFormatting xmlns:xm="http://schemas.microsoft.com/office/excel/2006/main">
          <x14:cfRule type="expression" priority="2521" id="{BF477FE1-0C94-45FA-9C9F-B7BEAF49FE48}">
            <xm:f>$Z$8='Assessment Details'!$Q$23</xm:f>
            <x14:dxf>
              <font>
                <color theme="0"/>
              </font>
              <fill>
                <patternFill>
                  <bgColor theme="0"/>
                </patternFill>
              </fill>
            </x14:dxf>
          </x14:cfRule>
          <xm:sqref>X205:Y205</xm:sqref>
        </x14:conditionalFormatting>
        <x14:conditionalFormatting xmlns:xm="http://schemas.microsoft.com/office/excel/2006/main">
          <x14:cfRule type="expression" priority="2520" id="{29455680-3399-4AC2-930B-5F61D074ABBA}">
            <xm:f>$Z$8='Assessment Details'!$Q$23</xm:f>
            <x14:dxf>
              <border>
                <left style="thin">
                  <color theme="0"/>
                </left>
                <right style="thin">
                  <color theme="0"/>
                </right>
                <top style="thin">
                  <color theme="0"/>
                </top>
                <bottom style="thin">
                  <color theme="0"/>
                </bottom>
                <vertical/>
                <horizontal/>
              </border>
            </x14:dxf>
          </x14:cfRule>
          <xm:sqref>X205:Y205</xm:sqref>
        </x14:conditionalFormatting>
        <x14:conditionalFormatting xmlns:xm="http://schemas.microsoft.com/office/excel/2006/main">
          <x14:cfRule type="expression" priority="2501" id="{9BE0B12E-ED3A-4BF6-BE58-06E577076887}">
            <xm:f>$S$8='Assessment Details'!$Q$23</xm:f>
            <x14:dxf>
              <font>
                <color theme="0"/>
              </font>
              <fill>
                <patternFill>
                  <bgColor theme="0"/>
                </patternFill>
              </fill>
              <border>
                <vertical/>
                <horizontal/>
              </border>
            </x14:dxf>
          </x14:cfRule>
          <xm:sqref>Q208:R208</xm:sqref>
        </x14:conditionalFormatting>
        <x14:conditionalFormatting xmlns:xm="http://schemas.microsoft.com/office/excel/2006/main">
          <x14:cfRule type="expression" priority="2500" id="{FB75C1DC-7F57-4929-B090-7120F515DFFC}">
            <xm:f>$S$8='Assessment Details'!$Q$23</xm:f>
            <x14:dxf>
              <border>
                <left style="thin">
                  <color theme="0"/>
                </left>
                <right style="thin">
                  <color theme="0"/>
                </right>
                <top style="thin">
                  <color theme="0"/>
                </top>
                <bottom style="thin">
                  <color theme="0"/>
                </bottom>
                <vertical/>
                <horizontal/>
              </border>
            </x14:dxf>
          </x14:cfRule>
          <xm:sqref>Q208:R208</xm:sqref>
        </x14:conditionalFormatting>
        <x14:conditionalFormatting xmlns:xm="http://schemas.microsoft.com/office/excel/2006/main">
          <x14:cfRule type="expression" priority="2499" id="{F50A463C-BCEE-4AF7-9D93-BC2C3D84423D}">
            <xm:f>$Z$8='Assessment Details'!$Q$23</xm:f>
            <x14:dxf>
              <font>
                <color theme="0"/>
              </font>
              <fill>
                <patternFill>
                  <bgColor theme="0"/>
                </patternFill>
              </fill>
            </x14:dxf>
          </x14:cfRule>
          <xm:sqref>X208:Y208</xm:sqref>
        </x14:conditionalFormatting>
        <x14:conditionalFormatting xmlns:xm="http://schemas.microsoft.com/office/excel/2006/main">
          <x14:cfRule type="expression" priority="2498" id="{E36E2DF7-E9FC-496C-BC29-3B08CB152ACD}">
            <xm:f>$Z$8='Assessment Details'!$Q$23</xm:f>
            <x14:dxf>
              <border>
                <left style="thin">
                  <color theme="0"/>
                </left>
                <right style="thin">
                  <color theme="0"/>
                </right>
                <top style="thin">
                  <color theme="0"/>
                </top>
                <bottom style="thin">
                  <color theme="0"/>
                </bottom>
                <vertical/>
                <horizontal/>
              </border>
            </x14:dxf>
          </x14:cfRule>
          <xm:sqref>X208:Y208</xm:sqref>
        </x14:conditionalFormatting>
        <x14:conditionalFormatting xmlns:xm="http://schemas.microsoft.com/office/excel/2006/main">
          <x14:cfRule type="expression" priority="2478" id="{F520F275-AA21-4989-B9CF-E28CD6D94467}">
            <xm:f>$S$8='Assessment Details'!$Q$23</xm:f>
            <x14:dxf>
              <font>
                <color theme="0"/>
              </font>
              <fill>
                <patternFill>
                  <bgColor theme="0"/>
                </patternFill>
              </fill>
              <border>
                <vertical/>
                <horizontal/>
              </border>
            </x14:dxf>
          </x14:cfRule>
          <xm:sqref>N42:N46</xm:sqref>
        </x14:conditionalFormatting>
        <x14:conditionalFormatting xmlns:xm="http://schemas.microsoft.com/office/excel/2006/main">
          <x14:cfRule type="expression" priority="2477" id="{65297D8B-AB0B-4557-8CDD-F71008214F0F}">
            <xm:f>$S$8='Assessment Details'!$Q$23</xm:f>
            <x14:dxf>
              <border>
                <left style="thin">
                  <color theme="0"/>
                </left>
                <right style="thin">
                  <color theme="0"/>
                </right>
                <top style="thin">
                  <color theme="0"/>
                </top>
                <bottom style="thin">
                  <color theme="0"/>
                </bottom>
                <vertical/>
                <horizontal/>
              </border>
            </x14:dxf>
          </x14:cfRule>
          <xm:sqref>N42:N46</xm:sqref>
        </x14:conditionalFormatting>
        <x14:conditionalFormatting xmlns:xm="http://schemas.microsoft.com/office/excel/2006/main">
          <x14:cfRule type="expression" priority="2476" id="{23ED5DD3-EE5A-4EC2-BF98-B7CAB7F0ACE1}">
            <xm:f>$Z$8='Assessment Details'!$Q$23</xm:f>
            <x14:dxf>
              <font>
                <color theme="0"/>
              </font>
              <fill>
                <patternFill>
                  <bgColor theme="0"/>
                </patternFill>
              </fill>
            </x14:dxf>
          </x14:cfRule>
          <xm:sqref>X42:Y46</xm:sqref>
        </x14:conditionalFormatting>
        <x14:conditionalFormatting xmlns:xm="http://schemas.microsoft.com/office/excel/2006/main">
          <x14:cfRule type="expression" priority="2475" id="{538EEEBC-840F-45AA-BA3C-4E4C560A6E08}">
            <xm:f>$Z$8='Assessment Details'!$Q$23</xm:f>
            <x14:dxf>
              <border>
                <left style="thin">
                  <color theme="0"/>
                </left>
                <right style="thin">
                  <color theme="0"/>
                </right>
                <top style="thin">
                  <color theme="0"/>
                </top>
                <bottom style="thin">
                  <color theme="0"/>
                </bottom>
                <vertical/>
                <horizontal/>
              </border>
            </x14:dxf>
          </x14:cfRule>
          <xm:sqref>X42:Y46</xm:sqref>
        </x14:conditionalFormatting>
        <x14:conditionalFormatting xmlns:xm="http://schemas.microsoft.com/office/excel/2006/main">
          <x14:cfRule type="expression" priority="2461" id="{DC06FD4E-10F2-4831-BD36-17564073A566}">
            <xm:f>$Z$8='Assessment Details'!$Q$23</xm:f>
            <x14:dxf>
              <font>
                <color theme="0"/>
              </font>
              <fill>
                <patternFill>
                  <bgColor theme="0"/>
                </patternFill>
              </fill>
            </x14:dxf>
          </x14:cfRule>
          <xm:sqref>U42:U46</xm:sqref>
        </x14:conditionalFormatting>
        <x14:conditionalFormatting xmlns:xm="http://schemas.microsoft.com/office/excel/2006/main">
          <x14:cfRule type="expression" priority="2460" id="{0C676674-2813-4A1B-8AC3-2129F2E97D76}">
            <xm:f>$Z$8='Assessment Details'!$Q$23</xm:f>
            <x14:dxf>
              <border>
                <left style="thin">
                  <color theme="0"/>
                </left>
                <right style="thin">
                  <color theme="0"/>
                </right>
                <top style="thin">
                  <color theme="0"/>
                </top>
                <bottom style="thin">
                  <color theme="0"/>
                </bottom>
                <vertical/>
                <horizontal/>
              </border>
            </x14:dxf>
          </x14:cfRule>
          <xm:sqref>U42:U46</xm:sqref>
        </x14:conditionalFormatting>
        <x14:conditionalFormatting xmlns:xm="http://schemas.microsoft.com/office/excel/2006/main">
          <x14:cfRule type="expression" priority="2449" id="{EBA401F8-FFB6-48F9-A694-9CEBDB9352D6}">
            <xm:f>$S$8='Assessment Details'!$Q$23</xm:f>
            <x14:dxf>
              <font>
                <color theme="0"/>
              </font>
              <fill>
                <patternFill>
                  <bgColor theme="0"/>
                </patternFill>
              </fill>
              <border>
                <vertical/>
                <horizontal/>
              </border>
            </x14:dxf>
          </x14:cfRule>
          <xm:sqref>N48:N51</xm:sqref>
        </x14:conditionalFormatting>
        <x14:conditionalFormatting xmlns:xm="http://schemas.microsoft.com/office/excel/2006/main">
          <x14:cfRule type="expression" priority="2448" id="{D00DE627-09B7-4C4E-AD68-6B294F08EA63}">
            <xm:f>$S$8='Assessment Details'!$Q$23</xm:f>
            <x14:dxf>
              <border>
                <left style="thin">
                  <color theme="0"/>
                </left>
                <right style="thin">
                  <color theme="0"/>
                </right>
                <top style="thin">
                  <color theme="0"/>
                </top>
                <bottom style="thin">
                  <color theme="0"/>
                </bottom>
                <vertical/>
                <horizontal/>
              </border>
            </x14:dxf>
          </x14:cfRule>
          <xm:sqref>N48:N51</xm:sqref>
        </x14:conditionalFormatting>
        <x14:conditionalFormatting xmlns:xm="http://schemas.microsoft.com/office/excel/2006/main">
          <x14:cfRule type="expression" priority="2447" id="{211A9518-D0E4-47F3-8F21-84EE0D3E60EA}">
            <xm:f>$Z$8='Assessment Details'!$Q$23</xm:f>
            <x14:dxf>
              <font>
                <color theme="0"/>
              </font>
              <fill>
                <patternFill>
                  <bgColor theme="0"/>
                </patternFill>
              </fill>
            </x14:dxf>
          </x14:cfRule>
          <xm:sqref>X48:Y51</xm:sqref>
        </x14:conditionalFormatting>
        <x14:conditionalFormatting xmlns:xm="http://schemas.microsoft.com/office/excel/2006/main">
          <x14:cfRule type="expression" priority="2446" id="{6918EB0A-3099-4DCC-93AA-21F4F3C3ABD7}">
            <xm:f>$Z$8='Assessment Details'!$Q$23</xm:f>
            <x14:dxf>
              <border>
                <left style="thin">
                  <color theme="0"/>
                </left>
                <right style="thin">
                  <color theme="0"/>
                </right>
                <top style="thin">
                  <color theme="0"/>
                </top>
                <bottom style="thin">
                  <color theme="0"/>
                </bottom>
                <vertical/>
                <horizontal/>
              </border>
            </x14:dxf>
          </x14:cfRule>
          <xm:sqref>X48:Y51</xm:sqref>
        </x14:conditionalFormatting>
        <x14:conditionalFormatting xmlns:xm="http://schemas.microsoft.com/office/excel/2006/main">
          <x14:cfRule type="expression" priority="2432" id="{B16CC0B9-0CF9-4BC4-B50C-20280CD71DB9}">
            <xm:f>$Z$8='Assessment Details'!$Q$23</xm:f>
            <x14:dxf>
              <font>
                <color theme="0"/>
              </font>
              <fill>
                <patternFill>
                  <bgColor theme="0"/>
                </patternFill>
              </fill>
            </x14:dxf>
          </x14:cfRule>
          <xm:sqref>U48:U51</xm:sqref>
        </x14:conditionalFormatting>
        <x14:conditionalFormatting xmlns:xm="http://schemas.microsoft.com/office/excel/2006/main">
          <x14:cfRule type="expression" priority="2431" id="{D6211A4D-1F18-47FB-8C6F-B6B4E8C7276F}">
            <xm:f>$Z$8='Assessment Details'!$Q$23</xm:f>
            <x14:dxf>
              <border>
                <left style="thin">
                  <color theme="0"/>
                </left>
                <right style="thin">
                  <color theme="0"/>
                </right>
                <top style="thin">
                  <color theme="0"/>
                </top>
                <bottom style="thin">
                  <color theme="0"/>
                </bottom>
                <vertical/>
                <horizontal/>
              </border>
            </x14:dxf>
          </x14:cfRule>
          <xm:sqref>U48:U51</xm:sqref>
        </x14:conditionalFormatting>
        <x14:conditionalFormatting xmlns:xm="http://schemas.microsoft.com/office/excel/2006/main">
          <x14:cfRule type="expression" priority="2420" id="{8B61BCE3-BA8E-44F9-974F-CBAF2F4E9CCF}">
            <xm:f>$S$8='Assessment Details'!$Q$23</xm:f>
            <x14:dxf>
              <font>
                <color theme="0"/>
              </font>
              <fill>
                <patternFill>
                  <bgColor theme="0"/>
                </patternFill>
              </fill>
              <border>
                <vertical/>
                <horizontal/>
              </border>
            </x14:dxf>
          </x14:cfRule>
          <xm:sqref>N53:N55</xm:sqref>
        </x14:conditionalFormatting>
        <x14:conditionalFormatting xmlns:xm="http://schemas.microsoft.com/office/excel/2006/main">
          <x14:cfRule type="expression" priority="2419" id="{0F5C6E7F-3AB1-4804-B5B8-59509DC61890}">
            <xm:f>$S$8='Assessment Details'!$Q$23</xm:f>
            <x14:dxf>
              <border>
                <left style="thin">
                  <color theme="0"/>
                </left>
                <right style="thin">
                  <color theme="0"/>
                </right>
                <top style="thin">
                  <color theme="0"/>
                </top>
                <bottom style="thin">
                  <color theme="0"/>
                </bottom>
                <vertical/>
                <horizontal/>
              </border>
            </x14:dxf>
          </x14:cfRule>
          <xm:sqref>N53:N55</xm:sqref>
        </x14:conditionalFormatting>
        <x14:conditionalFormatting xmlns:xm="http://schemas.microsoft.com/office/excel/2006/main">
          <x14:cfRule type="expression" priority="2418" id="{8B35C785-D46D-4C2B-ABFE-E56AAFA48521}">
            <xm:f>$Z$8='Assessment Details'!$Q$23</xm:f>
            <x14:dxf>
              <font>
                <color theme="0"/>
              </font>
              <fill>
                <patternFill>
                  <bgColor theme="0"/>
                </patternFill>
              </fill>
            </x14:dxf>
          </x14:cfRule>
          <xm:sqref>X53:Y55</xm:sqref>
        </x14:conditionalFormatting>
        <x14:conditionalFormatting xmlns:xm="http://schemas.microsoft.com/office/excel/2006/main">
          <x14:cfRule type="expression" priority="2417" id="{CC6DD474-82D8-4E9E-BC65-751A09A84E39}">
            <xm:f>$Z$8='Assessment Details'!$Q$23</xm:f>
            <x14:dxf>
              <border>
                <left style="thin">
                  <color theme="0"/>
                </left>
                <right style="thin">
                  <color theme="0"/>
                </right>
                <top style="thin">
                  <color theme="0"/>
                </top>
                <bottom style="thin">
                  <color theme="0"/>
                </bottom>
                <vertical/>
                <horizontal/>
              </border>
            </x14:dxf>
          </x14:cfRule>
          <xm:sqref>X53:Y55</xm:sqref>
        </x14:conditionalFormatting>
        <x14:conditionalFormatting xmlns:xm="http://schemas.microsoft.com/office/excel/2006/main">
          <x14:cfRule type="expression" priority="2403" id="{C13CF83B-3E24-403D-ACE9-CB88E7959896}">
            <xm:f>$Z$8='Assessment Details'!$Q$23</xm:f>
            <x14:dxf>
              <font>
                <color theme="0"/>
              </font>
              <fill>
                <patternFill>
                  <bgColor theme="0"/>
                </patternFill>
              </fill>
            </x14:dxf>
          </x14:cfRule>
          <xm:sqref>U53:U55</xm:sqref>
        </x14:conditionalFormatting>
        <x14:conditionalFormatting xmlns:xm="http://schemas.microsoft.com/office/excel/2006/main">
          <x14:cfRule type="expression" priority="2402" id="{70213745-7607-4C38-B131-7AF5FAF240C3}">
            <xm:f>$Z$8='Assessment Details'!$Q$23</xm:f>
            <x14:dxf>
              <border>
                <left style="thin">
                  <color theme="0"/>
                </left>
                <right style="thin">
                  <color theme="0"/>
                </right>
                <top style="thin">
                  <color theme="0"/>
                </top>
                <bottom style="thin">
                  <color theme="0"/>
                </bottom>
                <vertical/>
                <horizontal/>
              </border>
            </x14:dxf>
          </x14:cfRule>
          <xm:sqref>U53:U55</xm:sqref>
        </x14:conditionalFormatting>
        <x14:conditionalFormatting xmlns:xm="http://schemas.microsoft.com/office/excel/2006/main">
          <x14:cfRule type="expression" priority="2391" id="{B5DB6A08-0F2F-4CF9-89FC-B055882590B1}">
            <xm:f>$S$8='Assessment Details'!$Q$23</xm:f>
            <x14:dxf>
              <font>
                <color theme="0"/>
              </font>
              <fill>
                <patternFill>
                  <bgColor theme="0"/>
                </patternFill>
              </fill>
              <border>
                <vertical/>
                <horizontal/>
              </border>
            </x14:dxf>
          </x14:cfRule>
          <xm:sqref>N58</xm:sqref>
        </x14:conditionalFormatting>
        <x14:conditionalFormatting xmlns:xm="http://schemas.microsoft.com/office/excel/2006/main">
          <x14:cfRule type="expression" priority="2390" id="{9A28F136-F590-4DC8-946D-8960E86C886D}">
            <xm:f>$S$8='Assessment Details'!$Q$23</xm:f>
            <x14:dxf>
              <border>
                <left style="thin">
                  <color theme="0"/>
                </left>
                <right style="thin">
                  <color theme="0"/>
                </right>
                <top style="thin">
                  <color theme="0"/>
                </top>
                <bottom style="thin">
                  <color theme="0"/>
                </bottom>
                <vertical/>
                <horizontal/>
              </border>
            </x14:dxf>
          </x14:cfRule>
          <xm:sqref>N58</xm:sqref>
        </x14:conditionalFormatting>
        <x14:conditionalFormatting xmlns:xm="http://schemas.microsoft.com/office/excel/2006/main">
          <x14:cfRule type="expression" priority="2389" id="{64B44649-B175-40BD-9BD2-E1C718700405}">
            <xm:f>$Z$8='Assessment Details'!$Q$23</xm:f>
            <x14:dxf>
              <font>
                <color theme="0"/>
              </font>
              <fill>
                <patternFill>
                  <bgColor theme="0"/>
                </patternFill>
              </fill>
            </x14:dxf>
          </x14:cfRule>
          <xm:sqref>X57:Y58</xm:sqref>
        </x14:conditionalFormatting>
        <x14:conditionalFormatting xmlns:xm="http://schemas.microsoft.com/office/excel/2006/main">
          <x14:cfRule type="expression" priority="2388" id="{3F4FB2A4-51EB-438B-BAF6-1061DECAB44F}">
            <xm:f>$Z$8='Assessment Details'!$Q$23</xm:f>
            <x14:dxf>
              <border>
                <left style="thin">
                  <color theme="0"/>
                </left>
                <right style="thin">
                  <color theme="0"/>
                </right>
                <top style="thin">
                  <color theme="0"/>
                </top>
                <bottom style="thin">
                  <color theme="0"/>
                </bottom>
                <vertical/>
                <horizontal/>
              </border>
            </x14:dxf>
          </x14:cfRule>
          <xm:sqref>X57:Y58</xm:sqref>
        </x14:conditionalFormatting>
        <x14:conditionalFormatting xmlns:xm="http://schemas.microsoft.com/office/excel/2006/main">
          <x14:cfRule type="expression" priority="2374" id="{CDE578B3-2556-425C-90AA-81F2B73F6BB0}">
            <xm:f>$Z$8='Assessment Details'!$Q$23</xm:f>
            <x14:dxf>
              <font>
                <color theme="0"/>
              </font>
              <fill>
                <patternFill>
                  <bgColor theme="0"/>
                </patternFill>
              </fill>
            </x14:dxf>
          </x14:cfRule>
          <xm:sqref>U58</xm:sqref>
        </x14:conditionalFormatting>
        <x14:conditionalFormatting xmlns:xm="http://schemas.microsoft.com/office/excel/2006/main">
          <x14:cfRule type="expression" priority="2373" id="{B626148C-4F2A-46AA-AA58-0463FA1A9A60}">
            <xm:f>$Z$8='Assessment Details'!$Q$23</xm:f>
            <x14:dxf>
              <border>
                <left style="thin">
                  <color theme="0"/>
                </left>
                <right style="thin">
                  <color theme="0"/>
                </right>
                <top style="thin">
                  <color theme="0"/>
                </top>
                <bottom style="thin">
                  <color theme="0"/>
                </bottom>
                <vertical/>
                <horizontal/>
              </border>
            </x14:dxf>
          </x14:cfRule>
          <xm:sqref>U58</xm:sqref>
        </x14:conditionalFormatting>
        <x14:conditionalFormatting xmlns:xm="http://schemas.microsoft.com/office/excel/2006/main">
          <x14:cfRule type="expression" priority="2362" id="{226059A5-5C88-467E-897B-4EDFB8224159}">
            <xm:f>$S$8='Assessment Details'!$Q$23</xm:f>
            <x14:dxf>
              <font>
                <color theme="0"/>
              </font>
              <fill>
                <patternFill>
                  <bgColor theme="0"/>
                </patternFill>
              </fill>
              <border>
                <vertical/>
                <horizontal/>
              </border>
            </x14:dxf>
          </x14:cfRule>
          <xm:sqref>N60:N61</xm:sqref>
        </x14:conditionalFormatting>
        <x14:conditionalFormatting xmlns:xm="http://schemas.microsoft.com/office/excel/2006/main">
          <x14:cfRule type="expression" priority="2361" id="{5CA0F889-AA6E-413C-AD94-C7EC10EAFCE5}">
            <xm:f>$S$8='Assessment Details'!$Q$23</xm:f>
            <x14:dxf>
              <border>
                <left style="thin">
                  <color theme="0"/>
                </left>
                <right style="thin">
                  <color theme="0"/>
                </right>
                <top style="thin">
                  <color theme="0"/>
                </top>
                <bottom style="thin">
                  <color theme="0"/>
                </bottom>
                <vertical/>
                <horizontal/>
              </border>
            </x14:dxf>
          </x14:cfRule>
          <xm:sqref>N60:N61</xm:sqref>
        </x14:conditionalFormatting>
        <x14:conditionalFormatting xmlns:xm="http://schemas.microsoft.com/office/excel/2006/main">
          <x14:cfRule type="expression" priority="2360" id="{8B989734-F8DF-4E16-BF6A-8BEAEADE2E3E}">
            <xm:f>$Z$8='Assessment Details'!$Q$23</xm:f>
            <x14:dxf>
              <font>
                <color theme="0"/>
              </font>
              <fill>
                <patternFill>
                  <bgColor theme="0"/>
                </patternFill>
              </fill>
            </x14:dxf>
          </x14:cfRule>
          <xm:sqref>X60:Y61</xm:sqref>
        </x14:conditionalFormatting>
        <x14:conditionalFormatting xmlns:xm="http://schemas.microsoft.com/office/excel/2006/main">
          <x14:cfRule type="expression" priority="2359" id="{BB590148-8C46-498A-874D-9FBDABE72BBD}">
            <xm:f>$Z$8='Assessment Details'!$Q$23</xm:f>
            <x14:dxf>
              <border>
                <left style="thin">
                  <color theme="0"/>
                </left>
                <right style="thin">
                  <color theme="0"/>
                </right>
                <top style="thin">
                  <color theme="0"/>
                </top>
                <bottom style="thin">
                  <color theme="0"/>
                </bottom>
                <vertical/>
                <horizontal/>
              </border>
            </x14:dxf>
          </x14:cfRule>
          <xm:sqref>X60:Y61</xm:sqref>
        </x14:conditionalFormatting>
        <x14:conditionalFormatting xmlns:xm="http://schemas.microsoft.com/office/excel/2006/main">
          <x14:cfRule type="expression" priority="2345" id="{CB71A114-E15F-4B34-82A8-A06476665063}">
            <xm:f>$Z$8='Assessment Details'!$Q$23</xm:f>
            <x14:dxf>
              <font>
                <color theme="0"/>
              </font>
              <fill>
                <patternFill>
                  <bgColor theme="0"/>
                </patternFill>
              </fill>
            </x14:dxf>
          </x14:cfRule>
          <xm:sqref>U60:U61</xm:sqref>
        </x14:conditionalFormatting>
        <x14:conditionalFormatting xmlns:xm="http://schemas.microsoft.com/office/excel/2006/main">
          <x14:cfRule type="expression" priority="2344" id="{DB3093EC-74C7-40E1-9C37-44C4FFABBAD7}">
            <xm:f>$Z$8='Assessment Details'!$Q$23</xm:f>
            <x14:dxf>
              <border>
                <left style="thin">
                  <color theme="0"/>
                </left>
                <right style="thin">
                  <color theme="0"/>
                </right>
                <top style="thin">
                  <color theme="0"/>
                </top>
                <bottom style="thin">
                  <color theme="0"/>
                </bottom>
                <vertical/>
                <horizontal/>
              </border>
            </x14:dxf>
          </x14:cfRule>
          <xm:sqref>U60:U61</xm:sqref>
        </x14:conditionalFormatting>
        <x14:conditionalFormatting xmlns:xm="http://schemas.microsoft.com/office/excel/2006/main">
          <x14:cfRule type="expression" priority="2333" id="{594E7B80-4F01-4A25-B75D-ED47E2CFAAC8}">
            <xm:f>$S$8='Assessment Details'!$Q$23</xm:f>
            <x14:dxf>
              <font>
                <color theme="0"/>
              </font>
              <fill>
                <patternFill>
                  <bgColor theme="0"/>
                </patternFill>
              </fill>
              <border>
                <vertical/>
                <horizontal/>
              </border>
            </x14:dxf>
          </x14:cfRule>
          <xm:sqref>N63</xm:sqref>
        </x14:conditionalFormatting>
        <x14:conditionalFormatting xmlns:xm="http://schemas.microsoft.com/office/excel/2006/main">
          <x14:cfRule type="expression" priority="2332" id="{B5708B9A-F16A-4B40-A4F5-F56F183612CF}">
            <xm:f>$S$8='Assessment Details'!$Q$23</xm:f>
            <x14:dxf>
              <border>
                <left style="thin">
                  <color theme="0"/>
                </left>
                <right style="thin">
                  <color theme="0"/>
                </right>
                <top style="thin">
                  <color theme="0"/>
                </top>
                <bottom style="thin">
                  <color theme="0"/>
                </bottom>
                <vertical/>
                <horizontal/>
              </border>
            </x14:dxf>
          </x14:cfRule>
          <xm:sqref>N63</xm:sqref>
        </x14:conditionalFormatting>
        <x14:conditionalFormatting xmlns:xm="http://schemas.microsoft.com/office/excel/2006/main">
          <x14:cfRule type="expression" priority="2331" id="{A4F5DEDE-ED55-4EA4-9A3D-3AE3E3BE1DDC}">
            <xm:f>$Z$8='Assessment Details'!$Q$23</xm:f>
            <x14:dxf>
              <font>
                <color theme="0"/>
              </font>
              <fill>
                <patternFill>
                  <bgColor theme="0"/>
                </patternFill>
              </fill>
            </x14:dxf>
          </x14:cfRule>
          <xm:sqref>X63:Y63</xm:sqref>
        </x14:conditionalFormatting>
        <x14:conditionalFormatting xmlns:xm="http://schemas.microsoft.com/office/excel/2006/main">
          <x14:cfRule type="expression" priority="2330" id="{69C51F84-D983-48EE-A07C-54B29FCA9113}">
            <xm:f>$Z$8='Assessment Details'!$Q$23</xm:f>
            <x14:dxf>
              <border>
                <left style="thin">
                  <color theme="0"/>
                </left>
                <right style="thin">
                  <color theme="0"/>
                </right>
                <top style="thin">
                  <color theme="0"/>
                </top>
                <bottom style="thin">
                  <color theme="0"/>
                </bottom>
                <vertical/>
                <horizontal/>
              </border>
            </x14:dxf>
          </x14:cfRule>
          <xm:sqref>X63:Y63</xm:sqref>
        </x14:conditionalFormatting>
        <x14:conditionalFormatting xmlns:xm="http://schemas.microsoft.com/office/excel/2006/main">
          <x14:cfRule type="expression" priority="2316" id="{F1A8FF8C-FE8F-4A32-93EB-787994E1183B}">
            <xm:f>$Z$8='Assessment Details'!$Q$23</xm:f>
            <x14:dxf>
              <font>
                <color theme="0"/>
              </font>
              <fill>
                <patternFill>
                  <bgColor theme="0"/>
                </patternFill>
              </fill>
            </x14:dxf>
          </x14:cfRule>
          <xm:sqref>U63</xm:sqref>
        </x14:conditionalFormatting>
        <x14:conditionalFormatting xmlns:xm="http://schemas.microsoft.com/office/excel/2006/main">
          <x14:cfRule type="expression" priority="2315" id="{1889BFD1-A62C-423B-AF97-D06672E00C4D}">
            <xm:f>$Z$8='Assessment Details'!$Q$23</xm:f>
            <x14:dxf>
              <border>
                <left style="thin">
                  <color theme="0"/>
                </left>
                <right style="thin">
                  <color theme="0"/>
                </right>
                <top style="thin">
                  <color theme="0"/>
                </top>
                <bottom style="thin">
                  <color theme="0"/>
                </bottom>
                <vertical/>
                <horizontal/>
              </border>
            </x14:dxf>
          </x14:cfRule>
          <xm:sqref>U63</xm:sqref>
        </x14:conditionalFormatting>
        <x14:conditionalFormatting xmlns:xm="http://schemas.microsoft.com/office/excel/2006/main">
          <x14:cfRule type="expression" priority="2304" id="{4C57F81C-C296-4591-8038-E0A5D9376C47}">
            <xm:f>$S$8='Assessment Details'!$Q$23</xm:f>
            <x14:dxf>
              <font>
                <color theme="0"/>
              </font>
              <fill>
                <patternFill>
                  <bgColor theme="0"/>
                </patternFill>
              </fill>
              <border>
                <vertical/>
                <horizontal/>
              </border>
            </x14:dxf>
          </x14:cfRule>
          <xm:sqref>N68:N74</xm:sqref>
        </x14:conditionalFormatting>
        <x14:conditionalFormatting xmlns:xm="http://schemas.microsoft.com/office/excel/2006/main">
          <x14:cfRule type="expression" priority="2303" id="{D64BE3C6-7FDA-468C-8A28-C862508A24D6}">
            <xm:f>$S$8='Assessment Details'!$Q$23</xm:f>
            <x14:dxf>
              <border>
                <left style="thin">
                  <color theme="0"/>
                </left>
                <right style="thin">
                  <color theme="0"/>
                </right>
                <top style="thin">
                  <color theme="0"/>
                </top>
                <bottom style="thin">
                  <color theme="0"/>
                </bottom>
                <vertical/>
                <horizontal/>
              </border>
            </x14:dxf>
          </x14:cfRule>
          <xm:sqref>N68:N74</xm:sqref>
        </x14:conditionalFormatting>
        <x14:conditionalFormatting xmlns:xm="http://schemas.microsoft.com/office/excel/2006/main">
          <x14:cfRule type="expression" priority="2302" id="{D2990D95-B237-40C7-8B29-8E431D7CCD98}">
            <xm:f>$Z$8='Assessment Details'!$Q$23</xm:f>
            <x14:dxf>
              <font>
                <color theme="0"/>
              </font>
              <fill>
                <patternFill>
                  <bgColor theme="0"/>
                </patternFill>
              </fill>
            </x14:dxf>
          </x14:cfRule>
          <xm:sqref>X68:Y74</xm:sqref>
        </x14:conditionalFormatting>
        <x14:conditionalFormatting xmlns:xm="http://schemas.microsoft.com/office/excel/2006/main">
          <x14:cfRule type="expression" priority="2301" id="{5D6521A0-E04C-4DDD-9F6E-E7074BA9A1BA}">
            <xm:f>$Z$8='Assessment Details'!$Q$23</xm:f>
            <x14:dxf>
              <border>
                <left style="thin">
                  <color theme="0"/>
                </left>
                <right style="thin">
                  <color theme="0"/>
                </right>
                <top style="thin">
                  <color theme="0"/>
                </top>
                <bottom style="thin">
                  <color theme="0"/>
                </bottom>
                <vertical/>
                <horizontal/>
              </border>
            </x14:dxf>
          </x14:cfRule>
          <xm:sqref>X68:Y74</xm:sqref>
        </x14:conditionalFormatting>
        <x14:conditionalFormatting xmlns:xm="http://schemas.microsoft.com/office/excel/2006/main">
          <x14:cfRule type="expression" priority="2287" id="{4789BFF2-D6D4-4288-B53F-B8FE41E469F3}">
            <xm:f>$Z$8='Assessment Details'!$Q$23</xm:f>
            <x14:dxf>
              <font>
                <color theme="0"/>
              </font>
              <fill>
                <patternFill>
                  <bgColor theme="0"/>
                </patternFill>
              </fill>
            </x14:dxf>
          </x14:cfRule>
          <xm:sqref>U68:U70 U72 U74</xm:sqref>
        </x14:conditionalFormatting>
        <x14:conditionalFormatting xmlns:xm="http://schemas.microsoft.com/office/excel/2006/main">
          <x14:cfRule type="expression" priority="2286" id="{24B4E335-84BD-46CE-8043-1B118D9235AD}">
            <xm:f>$Z$8='Assessment Details'!$Q$23</xm:f>
            <x14:dxf>
              <border>
                <left style="thin">
                  <color theme="0"/>
                </left>
                <right style="thin">
                  <color theme="0"/>
                </right>
                <top style="thin">
                  <color theme="0"/>
                </top>
                <bottom style="thin">
                  <color theme="0"/>
                </bottom>
                <vertical/>
                <horizontal/>
              </border>
            </x14:dxf>
          </x14:cfRule>
          <xm:sqref>U68:U70 U72 U74</xm:sqref>
        </x14:conditionalFormatting>
        <x14:conditionalFormatting xmlns:xm="http://schemas.microsoft.com/office/excel/2006/main">
          <x14:cfRule type="expression" priority="2275" id="{624BDA07-2E5A-4BB8-AB05-9D1324B44598}">
            <xm:f>$S$8='Assessment Details'!$Q$23</xm:f>
            <x14:dxf>
              <font>
                <color theme="0"/>
              </font>
              <fill>
                <patternFill>
                  <bgColor theme="0"/>
                </patternFill>
              </fill>
              <border>
                <vertical/>
                <horizontal/>
              </border>
            </x14:dxf>
          </x14:cfRule>
          <xm:sqref>N76:N78</xm:sqref>
        </x14:conditionalFormatting>
        <x14:conditionalFormatting xmlns:xm="http://schemas.microsoft.com/office/excel/2006/main">
          <x14:cfRule type="expression" priority="2274" id="{C8D83D7C-7FCA-43B9-8A56-98275D98F953}">
            <xm:f>$S$8='Assessment Details'!$Q$23</xm:f>
            <x14:dxf>
              <border>
                <left style="thin">
                  <color theme="0"/>
                </left>
                <right style="thin">
                  <color theme="0"/>
                </right>
                <top style="thin">
                  <color theme="0"/>
                </top>
                <bottom style="thin">
                  <color theme="0"/>
                </bottom>
                <vertical/>
                <horizontal/>
              </border>
            </x14:dxf>
          </x14:cfRule>
          <xm:sqref>N76:N78</xm:sqref>
        </x14:conditionalFormatting>
        <x14:conditionalFormatting xmlns:xm="http://schemas.microsoft.com/office/excel/2006/main">
          <x14:cfRule type="expression" priority="2273" id="{28293B8E-DE74-4681-8B37-3D015FF67550}">
            <xm:f>$Z$8='Assessment Details'!$Q$23</xm:f>
            <x14:dxf>
              <font>
                <color theme="0"/>
              </font>
              <fill>
                <patternFill>
                  <bgColor theme="0"/>
                </patternFill>
              </fill>
            </x14:dxf>
          </x14:cfRule>
          <xm:sqref>X76:Y78</xm:sqref>
        </x14:conditionalFormatting>
        <x14:conditionalFormatting xmlns:xm="http://schemas.microsoft.com/office/excel/2006/main">
          <x14:cfRule type="expression" priority="2272" id="{FA4E4398-1960-47C2-9636-EE189871FC34}">
            <xm:f>$Z$8='Assessment Details'!$Q$23</xm:f>
            <x14:dxf>
              <border>
                <left style="thin">
                  <color theme="0"/>
                </left>
                <right style="thin">
                  <color theme="0"/>
                </right>
                <top style="thin">
                  <color theme="0"/>
                </top>
                <bottom style="thin">
                  <color theme="0"/>
                </bottom>
                <vertical/>
                <horizontal/>
              </border>
            </x14:dxf>
          </x14:cfRule>
          <xm:sqref>X76:Y78</xm:sqref>
        </x14:conditionalFormatting>
        <x14:conditionalFormatting xmlns:xm="http://schemas.microsoft.com/office/excel/2006/main">
          <x14:cfRule type="expression" priority="2258" id="{AB0458F2-B50D-48A9-A136-B8142DE40861}">
            <xm:f>$Z$8='Assessment Details'!$Q$23</xm:f>
            <x14:dxf>
              <font>
                <color theme="0"/>
              </font>
              <fill>
                <patternFill>
                  <bgColor theme="0"/>
                </patternFill>
              </fill>
            </x14:dxf>
          </x14:cfRule>
          <xm:sqref>U76:U78</xm:sqref>
        </x14:conditionalFormatting>
        <x14:conditionalFormatting xmlns:xm="http://schemas.microsoft.com/office/excel/2006/main">
          <x14:cfRule type="expression" priority="2257" id="{04A59890-99BC-4105-8456-C1E9F7D31E91}">
            <xm:f>$Z$8='Assessment Details'!$Q$23</xm:f>
            <x14:dxf>
              <border>
                <left style="thin">
                  <color theme="0"/>
                </left>
                <right style="thin">
                  <color theme="0"/>
                </right>
                <top style="thin">
                  <color theme="0"/>
                </top>
                <bottom style="thin">
                  <color theme="0"/>
                </bottom>
                <vertical/>
                <horizontal/>
              </border>
            </x14:dxf>
          </x14:cfRule>
          <xm:sqref>U76:U78</xm:sqref>
        </x14:conditionalFormatting>
        <x14:conditionalFormatting xmlns:xm="http://schemas.microsoft.com/office/excel/2006/main">
          <x14:cfRule type="expression" priority="2246" id="{3AB8F301-5249-4A01-8980-347F6CBB67AA}">
            <xm:f>$S$8='Assessment Details'!$Q$23</xm:f>
            <x14:dxf>
              <font>
                <color theme="0"/>
              </font>
              <fill>
                <patternFill>
                  <bgColor theme="0"/>
                </patternFill>
              </fill>
              <border>
                <vertical/>
                <horizontal/>
              </border>
            </x14:dxf>
          </x14:cfRule>
          <xm:sqref>N80:N81</xm:sqref>
        </x14:conditionalFormatting>
        <x14:conditionalFormatting xmlns:xm="http://schemas.microsoft.com/office/excel/2006/main">
          <x14:cfRule type="expression" priority="2245" id="{AAF2E691-E93D-4F1C-9C1D-49345DC5D20C}">
            <xm:f>$S$8='Assessment Details'!$Q$23</xm:f>
            <x14:dxf>
              <border>
                <left style="thin">
                  <color theme="0"/>
                </left>
                <right style="thin">
                  <color theme="0"/>
                </right>
                <top style="thin">
                  <color theme="0"/>
                </top>
                <bottom style="thin">
                  <color theme="0"/>
                </bottom>
                <vertical/>
                <horizontal/>
              </border>
            </x14:dxf>
          </x14:cfRule>
          <xm:sqref>N80:N81</xm:sqref>
        </x14:conditionalFormatting>
        <x14:conditionalFormatting xmlns:xm="http://schemas.microsoft.com/office/excel/2006/main">
          <x14:cfRule type="expression" priority="2244" id="{7C89C613-2684-41DE-AA39-DB5B0E056B79}">
            <xm:f>$Z$8='Assessment Details'!$Q$23</xm:f>
            <x14:dxf>
              <font>
                <color theme="0"/>
              </font>
              <fill>
                <patternFill>
                  <bgColor theme="0"/>
                </patternFill>
              </fill>
            </x14:dxf>
          </x14:cfRule>
          <xm:sqref>X80:Y81</xm:sqref>
        </x14:conditionalFormatting>
        <x14:conditionalFormatting xmlns:xm="http://schemas.microsoft.com/office/excel/2006/main">
          <x14:cfRule type="expression" priority="2243" id="{4E547AEC-83C5-443E-A538-8262F36AD380}">
            <xm:f>$Z$8='Assessment Details'!$Q$23</xm:f>
            <x14:dxf>
              <border>
                <left style="thin">
                  <color theme="0"/>
                </left>
                <right style="thin">
                  <color theme="0"/>
                </right>
                <top style="thin">
                  <color theme="0"/>
                </top>
                <bottom style="thin">
                  <color theme="0"/>
                </bottom>
                <vertical/>
                <horizontal/>
              </border>
            </x14:dxf>
          </x14:cfRule>
          <xm:sqref>X80:Y81</xm:sqref>
        </x14:conditionalFormatting>
        <x14:conditionalFormatting xmlns:xm="http://schemas.microsoft.com/office/excel/2006/main">
          <x14:cfRule type="expression" priority="2229" id="{2E7100A6-7B8F-4808-B6A2-D3BE9816341C}">
            <xm:f>$Z$8='Assessment Details'!$Q$23</xm:f>
            <x14:dxf>
              <font>
                <color theme="0"/>
              </font>
              <fill>
                <patternFill>
                  <bgColor theme="0"/>
                </patternFill>
              </fill>
            </x14:dxf>
          </x14:cfRule>
          <xm:sqref>U80:U81</xm:sqref>
        </x14:conditionalFormatting>
        <x14:conditionalFormatting xmlns:xm="http://schemas.microsoft.com/office/excel/2006/main">
          <x14:cfRule type="expression" priority="2228" id="{FC4023BD-68ED-4558-9A2B-3D04902BEE9B}">
            <xm:f>$Z$8='Assessment Details'!$Q$23</xm:f>
            <x14:dxf>
              <border>
                <left style="thin">
                  <color theme="0"/>
                </left>
                <right style="thin">
                  <color theme="0"/>
                </right>
                <top style="thin">
                  <color theme="0"/>
                </top>
                <bottom style="thin">
                  <color theme="0"/>
                </bottom>
                <vertical/>
                <horizontal/>
              </border>
            </x14:dxf>
          </x14:cfRule>
          <xm:sqref>U80:U81</xm:sqref>
        </x14:conditionalFormatting>
        <x14:conditionalFormatting xmlns:xm="http://schemas.microsoft.com/office/excel/2006/main">
          <x14:cfRule type="expression" priority="2217" id="{8639024F-F23F-4E81-8DB4-60196403B34E}">
            <xm:f>$S$8='Assessment Details'!$Q$23</xm:f>
            <x14:dxf>
              <font>
                <color theme="0"/>
              </font>
              <fill>
                <patternFill>
                  <bgColor theme="0"/>
                </patternFill>
              </fill>
              <border>
                <vertical/>
                <horizontal/>
              </border>
            </x14:dxf>
          </x14:cfRule>
          <xm:sqref>N83:N84</xm:sqref>
        </x14:conditionalFormatting>
        <x14:conditionalFormatting xmlns:xm="http://schemas.microsoft.com/office/excel/2006/main">
          <x14:cfRule type="expression" priority="2216" id="{DFA2286E-5E2D-490A-B777-279B25DA5D7A}">
            <xm:f>$S$8='Assessment Details'!$Q$23</xm:f>
            <x14:dxf>
              <border>
                <left style="thin">
                  <color theme="0"/>
                </left>
                <right style="thin">
                  <color theme="0"/>
                </right>
                <top style="thin">
                  <color theme="0"/>
                </top>
                <bottom style="thin">
                  <color theme="0"/>
                </bottom>
                <vertical/>
                <horizontal/>
              </border>
            </x14:dxf>
          </x14:cfRule>
          <xm:sqref>N83:N84</xm:sqref>
        </x14:conditionalFormatting>
        <x14:conditionalFormatting xmlns:xm="http://schemas.microsoft.com/office/excel/2006/main">
          <x14:cfRule type="expression" priority="2215" id="{A06AD768-0E12-4632-BF09-4EF20AD923AD}">
            <xm:f>$Z$8='Assessment Details'!$Q$23</xm:f>
            <x14:dxf>
              <font>
                <color theme="0"/>
              </font>
              <fill>
                <patternFill>
                  <bgColor theme="0"/>
                </patternFill>
              </fill>
            </x14:dxf>
          </x14:cfRule>
          <xm:sqref>X83:Y84</xm:sqref>
        </x14:conditionalFormatting>
        <x14:conditionalFormatting xmlns:xm="http://schemas.microsoft.com/office/excel/2006/main">
          <x14:cfRule type="expression" priority="2214" id="{E77AFA42-6B5D-4DC0-AC7F-5C75A794FC89}">
            <xm:f>$Z$8='Assessment Details'!$Q$23</xm:f>
            <x14:dxf>
              <border>
                <left style="thin">
                  <color theme="0"/>
                </left>
                <right style="thin">
                  <color theme="0"/>
                </right>
                <top style="thin">
                  <color theme="0"/>
                </top>
                <bottom style="thin">
                  <color theme="0"/>
                </bottom>
                <vertical/>
                <horizontal/>
              </border>
            </x14:dxf>
          </x14:cfRule>
          <xm:sqref>X83:Y84</xm:sqref>
        </x14:conditionalFormatting>
        <x14:conditionalFormatting xmlns:xm="http://schemas.microsoft.com/office/excel/2006/main">
          <x14:cfRule type="expression" priority="2200" id="{6BE170C4-1FB8-4BDF-942B-64FC45CD4B36}">
            <xm:f>$Z$8='Assessment Details'!$Q$23</xm:f>
            <x14:dxf>
              <font>
                <color theme="0"/>
              </font>
              <fill>
                <patternFill>
                  <bgColor theme="0"/>
                </patternFill>
              </fill>
            </x14:dxf>
          </x14:cfRule>
          <xm:sqref>U83:U84</xm:sqref>
        </x14:conditionalFormatting>
        <x14:conditionalFormatting xmlns:xm="http://schemas.microsoft.com/office/excel/2006/main">
          <x14:cfRule type="expression" priority="2199" id="{18AE2361-A98A-42D3-96CF-E77AEE8F46B2}">
            <xm:f>$Z$8='Assessment Details'!$Q$23</xm:f>
            <x14:dxf>
              <border>
                <left style="thin">
                  <color theme="0"/>
                </left>
                <right style="thin">
                  <color theme="0"/>
                </right>
                <top style="thin">
                  <color theme="0"/>
                </top>
                <bottom style="thin">
                  <color theme="0"/>
                </bottom>
                <vertical/>
                <horizontal/>
              </border>
            </x14:dxf>
          </x14:cfRule>
          <xm:sqref>U83:U84</xm:sqref>
        </x14:conditionalFormatting>
        <x14:conditionalFormatting xmlns:xm="http://schemas.microsoft.com/office/excel/2006/main">
          <x14:cfRule type="expression" priority="2188" id="{BA419F19-B666-4964-86BA-61594272A086}">
            <xm:f>$S$8='Assessment Details'!$Q$23</xm:f>
            <x14:dxf>
              <font>
                <color theme="0"/>
              </font>
              <fill>
                <patternFill>
                  <bgColor theme="0"/>
                </patternFill>
              </fill>
              <border>
                <vertical/>
                <horizontal/>
              </border>
            </x14:dxf>
          </x14:cfRule>
          <xm:sqref>N86</xm:sqref>
        </x14:conditionalFormatting>
        <x14:conditionalFormatting xmlns:xm="http://schemas.microsoft.com/office/excel/2006/main">
          <x14:cfRule type="expression" priority="2187" id="{7C2E7C01-9625-4B7D-BB98-A2EF414C1587}">
            <xm:f>$S$8='Assessment Details'!$Q$23</xm:f>
            <x14:dxf>
              <border>
                <left style="thin">
                  <color theme="0"/>
                </left>
                <right style="thin">
                  <color theme="0"/>
                </right>
                <top style="thin">
                  <color theme="0"/>
                </top>
                <bottom style="thin">
                  <color theme="0"/>
                </bottom>
                <vertical/>
                <horizontal/>
              </border>
            </x14:dxf>
          </x14:cfRule>
          <xm:sqref>N86</xm:sqref>
        </x14:conditionalFormatting>
        <x14:conditionalFormatting xmlns:xm="http://schemas.microsoft.com/office/excel/2006/main">
          <x14:cfRule type="expression" priority="2186" id="{2599D598-DAC1-4239-AF06-22F4CEEBF02A}">
            <xm:f>$Z$8='Assessment Details'!$Q$23</xm:f>
            <x14:dxf>
              <font>
                <color theme="0"/>
              </font>
              <fill>
                <patternFill>
                  <bgColor theme="0"/>
                </patternFill>
              </fill>
            </x14:dxf>
          </x14:cfRule>
          <xm:sqref>X86:Y86</xm:sqref>
        </x14:conditionalFormatting>
        <x14:conditionalFormatting xmlns:xm="http://schemas.microsoft.com/office/excel/2006/main">
          <x14:cfRule type="expression" priority="2185" id="{17F0D2D1-E694-47EC-BCCB-99EF84D2EBEC}">
            <xm:f>$Z$8='Assessment Details'!$Q$23</xm:f>
            <x14:dxf>
              <border>
                <left style="thin">
                  <color theme="0"/>
                </left>
                <right style="thin">
                  <color theme="0"/>
                </right>
                <top style="thin">
                  <color theme="0"/>
                </top>
                <bottom style="thin">
                  <color theme="0"/>
                </bottom>
                <vertical/>
                <horizontal/>
              </border>
            </x14:dxf>
          </x14:cfRule>
          <xm:sqref>X86:Y86</xm:sqref>
        </x14:conditionalFormatting>
        <x14:conditionalFormatting xmlns:xm="http://schemas.microsoft.com/office/excel/2006/main">
          <x14:cfRule type="expression" priority="2171" id="{D4CEBB18-5A16-48E8-8394-E284801659CC}">
            <xm:f>$Z$8='Assessment Details'!$Q$23</xm:f>
            <x14:dxf>
              <font>
                <color theme="0"/>
              </font>
              <fill>
                <patternFill>
                  <bgColor theme="0"/>
                </patternFill>
              </fill>
            </x14:dxf>
          </x14:cfRule>
          <xm:sqref>U86</xm:sqref>
        </x14:conditionalFormatting>
        <x14:conditionalFormatting xmlns:xm="http://schemas.microsoft.com/office/excel/2006/main">
          <x14:cfRule type="expression" priority="2170" id="{132AA12C-8570-482C-B517-97BC4D3044BA}">
            <xm:f>$Z$8='Assessment Details'!$Q$23</xm:f>
            <x14:dxf>
              <border>
                <left style="thin">
                  <color theme="0"/>
                </left>
                <right style="thin">
                  <color theme="0"/>
                </right>
                <top style="thin">
                  <color theme="0"/>
                </top>
                <bottom style="thin">
                  <color theme="0"/>
                </bottom>
                <vertical/>
                <horizontal/>
              </border>
            </x14:dxf>
          </x14:cfRule>
          <xm:sqref>U86</xm:sqref>
        </x14:conditionalFormatting>
        <x14:conditionalFormatting xmlns:xm="http://schemas.microsoft.com/office/excel/2006/main">
          <x14:cfRule type="expression" priority="2159" id="{8C27B10B-C236-44AF-9911-EDBB50120527}">
            <xm:f>$S$8='Assessment Details'!$Q$23</xm:f>
            <x14:dxf>
              <font>
                <color theme="0"/>
              </font>
              <fill>
                <patternFill>
                  <bgColor theme="0"/>
                </patternFill>
              </fill>
              <border>
                <vertical/>
                <horizontal/>
              </border>
            </x14:dxf>
          </x14:cfRule>
          <xm:sqref>N90:N91</xm:sqref>
        </x14:conditionalFormatting>
        <x14:conditionalFormatting xmlns:xm="http://schemas.microsoft.com/office/excel/2006/main">
          <x14:cfRule type="expression" priority="2158" id="{674A6998-AEE3-4066-906F-6FD4CBB1F6BC}">
            <xm:f>$S$8='Assessment Details'!$Q$23</xm:f>
            <x14:dxf>
              <border>
                <left style="thin">
                  <color theme="0"/>
                </left>
                <right style="thin">
                  <color theme="0"/>
                </right>
                <top style="thin">
                  <color theme="0"/>
                </top>
                <bottom style="thin">
                  <color theme="0"/>
                </bottom>
                <vertical/>
                <horizontal/>
              </border>
            </x14:dxf>
          </x14:cfRule>
          <xm:sqref>N90:N91</xm:sqref>
        </x14:conditionalFormatting>
        <x14:conditionalFormatting xmlns:xm="http://schemas.microsoft.com/office/excel/2006/main">
          <x14:cfRule type="expression" priority="2157" id="{8C07C4CB-E10E-4C06-A90B-18DCA1148E08}">
            <xm:f>$Z$8='Assessment Details'!$Q$23</xm:f>
            <x14:dxf>
              <font>
                <color theme="0"/>
              </font>
              <fill>
                <patternFill>
                  <bgColor theme="0"/>
                </patternFill>
              </fill>
            </x14:dxf>
          </x14:cfRule>
          <xm:sqref>X90:Y91</xm:sqref>
        </x14:conditionalFormatting>
        <x14:conditionalFormatting xmlns:xm="http://schemas.microsoft.com/office/excel/2006/main">
          <x14:cfRule type="expression" priority="2156" id="{20700757-9EE6-4693-825B-207F2301AEF6}">
            <xm:f>$Z$8='Assessment Details'!$Q$23</xm:f>
            <x14:dxf>
              <border>
                <left style="thin">
                  <color theme="0"/>
                </left>
                <right style="thin">
                  <color theme="0"/>
                </right>
                <top style="thin">
                  <color theme="0"/>
                </top>
                <bottom style="thin">
                  <color theme="0"/>
                </bottom>
                <vertical/>
                <horizontal/>
              </border>
            </x14:dxf>
          </x14:cfRule>
          <xm:sqref>X90:Y91</xm:sqref>
        </x14:conditionalFormatting>
        <x14:conditionalFormatting xmlns:xm="http://schemas.microsoft.com/office/excel/2006/main">
          <x14:cfRule type="expression" priority="2142" id="{350E3395-ADF6-4C24-88B5-226CCCB7E2C1}">
            <xm:f>$Z$8='Assessment Details'!$Q$23</xm:f>
            <x14:dxf>
              <font>
                <color theme="0"/>
              </font>
              <fill>
                <patternFill>
                  <bgColor theme="0"/>
                </patternFill>
              </fill>
            </x14:dxf>
          </x14:cfRule>
          <xm:sqref>U90:U91</xm:sqref>
        </x14:conditionalFormatting>
        <x14:conditionalFormatting xmlns:xm="http://schemas.microsoft.com/office/excel/2006/main">
          <x14:cfRule type="expression" priority="2141" id="{282C15CE-13FA-41D8-856D-B17BEF62880E}">
            <xm:f>$Z$8='Assessment Details'!$Q$23</xm:f>
            <x14:dxf>
              <border>
                <left style="thin">
                  <color theme="0"/>
                </left>
                <right style="thin">
                  <color theme="0"/>
                </right>
                <top style="thin">
                  <color theme="0"/>
                </top>
                <bottom style="thin">
                  <color theme="0"/>
                </bottom>
                <vertical/>
                <horizontal/>
              </border>
            </x14:dxf>
          </x14:cfRule>
          <xm:sqref>U90:U91</xm:sqref>
        </x14:conditionalFormatting>
        <x14:conditionalFormatting xmlns:xm="http://schemas.microsoft.com/office/excel/2006/main">
          <x14:cfRule type="expression" priority="2130" id="{F752570C-D2FC-4EFE-83D9-62BB7B2F3170}">
            <xm:f>$S$8='Assessment Details'!$Q$23</xm:f>
            <x14:dxf>
              <font>
                <color theme="0"/>
              </font>
              <fill>
                <patternFill>
                  <bgColor theme="0"/>
                </patternFill>
              </fill>
              <border>
                <vertical/>
                <horizontal/>
              </border>
            </x14:dxf>
          </x14:cfRule>
          <xm:sqref>N93</xm:sqref>
        </x14:conditionalFormatting>
        <x14:conditionalFormatting xmlns:xm="http://schemas.microsoft.com/office/excel/2006/main">
          <x14:cfRule type="expression" priority="2129" id="{AD315150-4F01-4163-BD4B-6271BC05F848}">
            <xm:f>$S$8='Assessment Details'!$Q$23</xm:f>
            <x14:dxf>
              <border>
                <left style="thin">
                  <color theme="0"/>
                </left>
                <right style="thin">
                  <color theme="0"/>
                </right>
                <top style="thin">
                  <color theme="0"/>
                </top>
                <bottom style="thin">
                  <color theme="0"/>
                </bottom>
                <vertical/>
                <horizontal/>
              </border>
            </x14:dxf>
          </x14:cfRule>
          <xm:sqref>N93</xm:sqref>
        </x14:conditionalFormatting>
        <x14:conditionalFormatting xmlns:xm="http://schemas.microsoft.com/office/excel/2006/main">
          <x14:cfRule type="expression" priority="2128" id="{5664C6BB-F929-4B99-B383-9CE7C18DE75F}">
            <xm:f>$Z$8='Assessment Details'!$Q$23</xm:f>
            <x14:dxf>
              <font>
                <color theme="0"/>
              </font>
              <fill>
                <patternFill>
                  <bgColor theme="0"/>
                </patternFill>
              </fill>
            </x14:dxf>
          </x14:cfRule>
          <xm:sqref>X93:Y93</xm:sqref>
        </x14:conditionalFormatting>
        <x14:conditionalFormatting xmlns:xm="http://schemas.microsoft.com/office/excel/2006/main">
          <x14:cfRule type="expression" priority="2127" id="{0BBFF4CF-301E-4067-8F7A-27696B035A2D}">
            <xm:f>$Z$8='Assessment Details'!$Q$23</xm:f>
            <x14:dxf>
              <border>
                <left style="thin">
                  <color theme="0"/>
                </left>
                <right style="thin">
                  <color theme="0"/>
                </right>
                <top style="thin">
                  <color theme="0"/>
                </top>
                <bottom style="thin">
                  <color theme="0"/>
                </bottom>
                <vertical/>
                <horizontal/>
              </border>
            </x14:dxf>
          </x14:cfRule>
          <xm:sqref>X93:Y93</xm:sqref>
        </x14:conditionalFormatting>
        <x14:conditionalFormatting xmlns:xm="http://schemas.microsoft.com/office/excel/2006/main">
          <x14:cfRule type="expression" priority="2113" id="{7723BC43-6FB0-46EE-9682-4EA6458B7550}">
            <xm:f>$Z$8='Assessment Details'!$Q$23</xm:f>
            <x14:dxf>
              <font>
                <color theme="0"/>
              </font>
              <fill>
                <patternFill>
                  <bgColor theme="0"/>
                </patternFill>
              </fill>
            </x14:dxf>
          </x14:cfRule>
          <xm:sqref>U93</xm:sqref>
        </x14:conditionalFormatting>
        <x14:conditionalFormatting xmlns:xm="http://schemas.microsoft.com/office/excel/2006/main">
          <x14:cfRule type="expression" priority="2112" id="{AA88D484-8C09-4A5A-B459-54F1A7625209}">
            <xm:f>$Z$8='Assessment Details'!$Q$23</xm:f>
            <x14:dxf>
              <border>
                <left style="thin">
                  <color theme="0"/>
                </left>
                <right style="thin">
                  <color theme="0"/>
                </right>
                <top style="thin">
                  <color theme="0"/>
                </top>
                <bottom style="thin">
                  <color theme="0"/>
                </bottom>
                <vertical/>
                <horizontal/>
              </border>
            </x14:dxf>
          </x14:cfRule>
          <xm:sqref>U93</xm:sqref>
        </x14:conditionalFormatting>
        <x14:conditionalFormatting xmlns:xm="http://schemas.microsoft.com/office/excel/2006/main">
          <x14:cfRule type="expression" priority="2101" id="{C07C2A46-91E7-4772-8CA9-25391F1186D4}">
            <xm:f>$S$8='Assessment Details'!$Q$23</xm:f>
            <x14:dxf>
              <font>
                <color theme="0"/>
              </font>
              <fill>
                <patternFill>
                  <bgColor theme="0"/>
                </patternFill>
              </fill>
              <border>
                <vertical/>
                <horizontal/>
              </border>
            </x14:dxf>
          </x14:cfRule>
          <xm:sqref>N98:N99</xm:sqref>
        </x14:conditionalFormatting>
        <x14:conditionalFormatting xmlns:xm="http://schemas.microsoft.com/office/excel/2006/main">
          <x14:cfRule type="expression" priority="2100" id="{577E7415-B426-4761-969E-525C3026E8FA}">
            <xm:f>$S$8='Assessment Details'!$Q$23</xm:f>
            <x14:dxf>
              <border>
                <left style="thin">
                  <color theme="0"/>
                </left>
                <right style="thin">
                  <color theme="0"/>
                </right>
                <top style="thin">
                  <color theme="0"/>
                </top>
                <bottom style="thin">
                  <color theme="0"/>
                </bottom>
                <vertical/>
                <horizontal/>
              </border>
            </x14:dxf>
          </x14:cfRule>
          <xm:sqref>N98:N99</xm:sqref>
        </x14:conditionalFormatting>
        <x14:conditionalFormatting xmlns:xm="http://schemas.microsoft.com/office/excel/2006/main">
          <x14:cfRule type="expression" priority="2099" id="{0F38F094-9045-4951-98A8-D95A67FBEFE2}">
            <xm:f>$Z$8='Assessment Details'!$Q$23</xm:f>
            <x14:dxf>
              <font>
                <color theme="0"/>
              </font>
              <fill>
                <patternFill>
                  <bgColor theme="0"/>
                </patternFill>
              </fill>
            </x14:dxf>
          </x14:cfRule>
          <xm:sqref>X98:Y99</xm:sqref>
        </x14:conditionalFormatting>
        <x14:conditionalFormatting xmlns:xm="http://schemas.microsoft.com/office/excel/2006/main">
          <x14:cfRule type="expression" priority="2098" id="{3FA31538-631E-45F9-85FD-CFBABEAACC6A}">
            <xm:f>$Z$8='Assessment Details'!$Q$23</xm:f>
            <x14:dxf>
              <border>
                <left style="thin">
                  <color theme="0"/>
                </left>
                <right style="thin">
                  <color theme="0"/>
                </right>
                <top style="thin">
                  <color theme="0"/>
                </top>
                <bottom style="thin">
                  <color theme="0"/>
                </bottom>
                <vertical/>
                <horizontal/>
              </border>
            </x14:dxf>
          </x14:cfRule>
          <xm:sqref>X98:Y99</xm:sqref>
        </x14:conditionalFormatting>
        <x14:conditionalFormatting xmlns:xm="http://schemas.microsoft.com/office/excel/2006/main">
          <x14:cfRule type="expression" priority="2084" id="{7AB54FE5-B9DA-4EA7-A9E5-953C8B3C0473}">
            <xm:f>$Z$8='Assessment Details'!$Q$23</xm:f>
            <x14:dxf>
              <font>
                <color theme="0"/>
              </font>
              <fill>
                <patternFill>
                  <bgColor theme="0"/>
                </patternFill>
              </fill>
            </x14:dxf>
          </x14:cfRule>
          <xm:sqref>U98:U99</xm:sqref>
        </x14:conditionalFormatting>
        <x14:conditionalFormatting xmlns:xm="http://schemas.microsoft.com/office/excel/2006/main">
          <x14:cfRule type="expression" priority="2083" id="{1A327D6A-84EE-4B73-BBC3-DA9F1F71661F}">
            <xm:f>$Z$8='Assessment Details'!$Q$23</xm:f>
            <x14:dxf>
              <border>
                <left style="thin">
                  <color theme="0"/>
                </left>
                <right style="thin">
                  <color theme="0"/>
                </right>
                <top style="thin">
                  <color theme="0"/>
                </top>
                <bottom style="thin">
                  <color theme="0"/>
                </bottom>
                <vertical/>
                <horizontal/>
              </border>
            </x14:dxf>
          </x14:cfRule>
          <xm:sqref>U98:U99</xm:sqref>
        </x14:conditionalFormatting>
        <x14:conditionalFormatting xmlns:xm="http://schemas.microsoft.com/office/excel/2006/main">
          <x14:cfRule type="expression" priority="2072" id="{C3940A50-D42F-4EE2-9290-3CFB7F8B7535}">
            <xm:f>$S$8='Assessment Details'!$Q$23</xm:f>
            <x14:dxf>
              <font>
                <color theme="0"/>
              </font>
              <fill>
                <patternFill>
                  <bgColor theme="0"/>
                </patternFill>
              </fill>
              <border>
                <vertical/>
                <horizontal/>
              </border>
            </x14:dxf>
          </x14:cfRule>
          <xm:sqref>N102</xm:sqref>
        </x14:conditionalFormatting>
        <x14:conditionalFormatting xmlns:xm="http://schemas.microsoft.com/office/excel/2006/main">
          <x14:cfRule type="expression" priority="2071" id="{043B8E32-32E3-4AF6-AF54-5D4F904BBCBE}">
            <xm:f>$S$8='Assessment Details'!$Q$23</xm:f>
            <x14:dxf>
              <border>
                <left style="thin">
                  <color theme="0"/>
                </left>
                <right style="thin">
                  <color theme="0"/>
                </right>
                <top style="thin">
                  <color theme="0"/>
                </top>
                <bottom style="thin">
                  <color theme="0"/>
                </bottom>
                <vertical/>
                <horizontal/>
              </border>
            </x14:dxf>
          </x14:cfRule>
          <xm:sqref>N102</xm:sqref>
        </x14:conditionalFormatting>
        <x14:conditionalFormatting xmlns:xm="http://schemas.microsoft.com/office/excel/2006/main">
          <x14:cfRule type="expression" priority="2070" id="{5E88E285-50C1-45B0-8809-FE6EE42280C1}">
            <xm:f>$Z$8='Assessment Details'!$Q$23</xm:f>
            <x14:dxf>
              <font>
                <color theme="0"/>
              </font>
              <fill>
                <patternFill>
                  <bgColor theme="0"/>
                </patternFill>
              </fill>
            </x14:dxf>
          </x14:cfRule>
          <xm:sqref>X102:Y102</xm:sqref>
        </x14:conditionalFormatting>
        <x14:conditionalFormatting xmlns:xm="http://schemas.microsoft.com/office/excel/2006/main">
          <x14:cfRule type="expression" priority="2069" id="{B2A6B52D-816E-4EA0-B131-D139B7B3810A}">
            <xm:f>$Z$8='Assessment Details'!$Q$23</xm:f>
            <x14:dxf>
              <border>
                <left style="thin">
                  <color theme="0"/>
                </left>
                <right style="thin">
                  <color theme="0"/>
                </right>
                <top style="thin">
                  <color theme="0"/>
                </top>
                <bottom style="thin">
                  <color theme="0"/>
                </bottom>
                <vertical/>
                <horizontal/>
              </border>
            </x14:dxf>
          </x14:cfRule>
          <xm:sqref>X102:Y102</xm:sqref>
        </x14:conditionalFormatting>
        <x14:conditionalFormatting xmlns:xm="http://schemas.microsoft.com/office/excel/2006/main">
          <x14:cfRule type="expression" priority="2055" id="{14EED676-A4E1-4BFD-83F8-AA561679BBD0}">
            <xm:f>$Z$8='Assessment Details'!$Q$23</xm:f>
            <x14:dxf>
              <font>
                <color theme="0"/>
              </font>
              <fill>
                <patternFill>
                  <bgColor theme="0"/>
                </patternFill>
              </fill>
            </x14:dxf>
          </x14:cfRule>
          <xm:sqref>U102</xm:sqref>
        </x14:conditionalFormatting>
        <x14:conditionalFormatting xmlns:xm="http://schemas.microsoft.com/office/excel/2006/main">
          <x14:cfRule type="expression" priority="2054" id="{6AAD1F98-0862-4CC9-897D-B8E6FDC1C8BC}">
            <xm:f>$Z$8='Assessment Details'!$Q$23</xm:f>
            <x14:dxf>
              <border>
                <left style="thin">
                  <color theme="0"/>
                </left>
                <right style="thin">
                  <color theme="0"/>
                </right>
                <top style="thin">
                  <color theme="0"/>
                </top>
                <bottom style="thin">
                  <color theme="0"/>
                </bottom>
                <vertical/>
                <horizontal/>
              </border>
            </x14:dxf>
          </x14:cfRule>
          <xm:sqref>U102</xm:sqref>
        </x14:conditionalFormatting>
        <x14:conditionalFormatting xmlns:xm="http://schemas.microsoft.com/office/excel/2006/main">
          <x14:cfRule type="expression" priority="2041" id="{441C8689-B4E2-429B-9CEA-778569C7C540}">
            <xm:f>$Z$8='Assessment Details'!$Q$23</xm:f>
            <x14:dxf>
              <font>
                <color theme="0"/>
              </font>
              <fill>
                <patternFill>
                  <bgColor theme="0"/>
                </patternFill>
              </fill>
            </x14:dxf>
          </x14:cfRule>
          <xm:sqref>X108:Y108</xm:sqref>
        </x14:conditionalFormatting>
        <x14:conditionalFormatting xmlns:xm="http://schemas.microsoft.com/office/excel/2006/main">
          <x14:cfRule type="expression" priority="2040" id="{EF608D6E-1539-43FF-B8D6-278AB35159A5}">
            <xm:f>$Z$8='Assessment Details'!$Q$23</xm:f>
            <x14:dxf>
              <border>
                <left style="thin">
                  <color theme="0"/>
                </left>
                <right style="thin">
                  <color theme="0"/>
                </right>
                <top style="thin">
                  <color theme="0"/>
                </top>
                <bottom style="thin">
                  <color theme="0"/>
                </bottom>
                <vertical/>
                <horizontal/>
              </border>
            </x14:dxf>
          </x14:cfRule>
          <xm:sqref>X108:Y108</xm:sqref>
        </x14:conditionalFormatting>
        <x14:conditionalFormatting xmlns:xm="http://schemas.microsoft.com/office/excel/2006/main">
          <x14:cfRule type="expression" priority="2014" id="{7B2A31D0-1B1D-40B1-A127-9805B0DD5AF0}">
            <xm:f>$S$8='Assessment Details'!$Q$23</xm:f>
            <x14:dxf>
              <font>
                <color theme="0"/>
              </font>
              <fill>
                <patternFill>
                  <bgColor theme="0"/>
                </patternFill>
              </fill>
              <border>
                <vertical/>
                <horizontal/>
              </border>
            </x14:dxf>
          </x14:cfRule>
          <xm:sqref>N110</xm:sqref>
        </x14:conditionalFormatting>
        <x14:conditionalFormatting xmlns:xm="http://schemas.microsoft.com/office/excel/2006/main">
          <x14:cfRule type="expression" priority="2013" id="{E6FA7601-77CD-4AE7-992B-729BB6BD7E1A}">
            <xm:f>$S$8='Assessment Details'!$Q$23</xm:f>
            <x14:dxf>
              <border>
                <left style="thin">
                  <color theme="0"/>
                </left>
                <right style="thin">
                  <color theme="0"/>
                </right>
                <top style="thin">
                  <color theme="0"/>
                </top>
                <bottom style="thin">
                  <color theme="0"/>
                </bottom>
                <vertical/>
                <horizontal/>
              </border>
            </x14:dxf>
          </x14:cfRule>
          <xm:sqref>N110</xm:sqref>
        </x14:conditionalFormatting>
        <x14:conditionalFormatting xmlns:xm="http://schemas.microsoft.com/office/excel/2006/main">
          <x14:cfRule type="expression" priority="2012" id="{424714F3-BE21-4E51-B5AE-058A206714D5}">
            <xm:f>$Z$8='Assessment Details'!$Q$23</xm:f>
            <x14:dxf>
              <font>
                <color theme="0"/>
              </font>
              <fill>
                <patternFill>
                  <bgColor theme="0"/>
                </patternFill>
              </fill>
            </x14:dxf>
          </x14:cfRule>
          <xm:sqref>X110:Y110</xm:sqref>
        </x14:conditionalFormatting>
        <x14:conditionalFormatting xmlns:xm="http://schemas.microsoft.com/office/excel/2006/main">
          <x14:cfRule type="expression" priority="2011" id="{F5867DB7-16F4-4BFC-BCBE-34DBD34DF362}">
            <xm:f>$Z$8='Assessment Details'!$Q$23</xm:f>
            <x14:dxf>
              <border>
                <left style="thin">
                  <color theme="0"/>
                </left>
                <right style="thin">
                  <color theme="0"/>
                </right>
                <top style="thin">
                  <color theme="0"/>
                </top>
                <bottom style="thin">
                  <color theme="0"/>
                </bottom>
                <vertical/>
                <horizontal/>
              </border>
            </x14:dxf>
          </x14:cfRule>
          <xm:sqref>X110:Y110</xm:sqref>
        </x14:conditionalFormatting>
        <x14:conditionalFormatting xmlns:xm="http://schemas.microsoft.com/office/excel/2006/main">
          <x14:cfRule type="expression" priority="1997" id="{4A476CF7-E041-4E3A-99FF-8438380D39EC}">
            <xm:f>$Z$8='Assessment Details'!$Q$23</xm:f>
            <x14:dxf>
              <font>
                <color theme="0"/>
              </font>
              <fill>
                <patternFill>
                  <bgColor theme="0"/>
                </patternFill>
              </fill>
            </x14:dxf>
          </x14:cfRule>
          <xm:sqref>U110</xm:sqref>
        </x14:conditionalFormatting>
        <x14:conditionalFormatting xmlns:xm="http://schemas.microsoft.com/office/excel/2006/main">
          <x14:cfRule type="expression" priority="1996" id="{F62E1726-0408-441A-A6AF-C3E7A5ECAD32}">
            <xm:f>$Z$8='Assessment Details'!$Q$23</xm:f>
            <x14:dxf>
              <border>
                <left style="thin">
                  <color theme="0"/>
                </left>
                <right style="thin">
                  <color theme="0"/>
                </right>
                <top style="thin">
                  <color theme="0"/>
                </top>
                <bottom style="thin">
                  <color theme="0"/>
                </bottom>
                <vertical/>
                <horizontal/>
              </border>
            </x14:dxf>
          </x14:cfRule>
          <xm:sqref>U110</xm:sqref>
        </x14:conditionalFormatting>
        <x14:conditionalFormatting xmlns:xm="http://schemas.microsoft.com/office/excel/2006/main">
          <x14:cfRule type="expression" priority="1985" id="{32892BEA-02D1-45A9-8A5E-FD88AD203770}">
            <xm:f>$S$8='Assessment Details'!$Q$23</xm:f>
            <x14:dxf>
              <font>
                <color theme="0"/>
              </font>
              <fill>
                <patternFill>
                  <bgColor theme="0"/>
                </patternFill>
              </fill>
              <border>
                <vertical/>
                <horizontal/>
              </border>
            </x14:dxf>
          </x14:cfRule>
          <xm:sqref>N112:N114</xm:sqref>
        </x14:conditionalFormatting>
        <x14:conditionalFormatting xmlns:xm="http://schemas.microsoft.com/office/excel/2006/main">
          <x14:cfRule type="expression" priority="1984" id="{0CC88DFC-5A80-49DF-8B48-B6A3B1455E8E}">
            <xm:f>$S$8='Assessment Details'!$Q$23</xm:f>
            <x14:dxf>
              <border>
                <left style="thin">
                  <color theme="0"/>
                </left>
                <right style="thin">
                  <color theme="0"/>
                </right>
                <top style="thin">
                  <color theme="0"/>
                </top>
                <bottom style="thin">
                  <color theme="0"/>
                </bottom>
                <vertical/>
                <horizontal/>
              </border>
            </x14:dxf>
          </x14:cfRule>
          <xm:sqref>N112:N114</xm:sqref>
        </x14:conditionalFormatting>
        <x14:conditionalFormatting xmlns:xm="http://schemas.microsoft.com/office/excel/2006/main">
          <x14:cfRule type="expression" priority="1983" id="{B3A5F764-8080-490B-A02D-C22DA6F0062A}">
            <xm:f>$Z$8='Assessment Details'!$Q$23</xm:f>
            <x14:dxf>
              <font>
                <color theme="0"/>
              </font>
              <fill>
                <patternFill>
                  <bgColor theme="0"/>
                </patternFill>
              </fill>
            </x14:dxf>
          </x14:cfRule>
          <xm:sqref>X112:Y114</xm:sqref>
        </x14:conditionalFormatting>
        <x14:conditionalFormatting xmlns:xm="http://schemas.microsoft.com/office/excel/2006/main">
          <x14:cfRule type="expression" priority="1982" id="{45E4DBE2-E841-4A11-8D13-23BBA2767A47}">
            <xm:f>$Z$8='Assessment Details'!$Q$23</xm:f>
            <x14:dxf>
              <border>
                <left style="thin">
                  <color theme="0"/>
                </left>
                <right style="thin">
                  <color theme="0"/>
                </right>
                <top style="thin">
                  <color theme="0"/>
                </top>
                <bottom style="thin">
                  <color theme="0"/>
                </bottom>
                <vertical/>
                <horizontal/>
              </border>
            </x14:dxf>
          </x14:cfRule>
          <xm:sqref>X112:Y114</xm:sqref>
        </x14:conditionalFormatting>
        <x14:conditionalFormatting xmlns:xm="http://schemas.microsoft.com/office/excel/2006/main">
          <x14:cfRule type="expression" priority="1968" id="{D72C36D9-F5B6-4AB0-8FB7-C5F40119A46A}">
            <xm:f>$Z$8='Assessment Details'!$Q$23</xm:f>
            <x14:dxf>
              <font>
                <color theme="0"/>
              </font>
              <fill>
                <patternFill>
                  <bgColor theme="0"/>
                </patternFill>
              </fill>
            </x14:dxf>
          </x14:cfRule>
          <xm:sqref>U112:U114</xm:sqref>
        </x14:conditionalFormatting>
        <x14:conditionalFormatting xmlns:xm="http://schemas.microsoft.com/office/excel/2006/main">
          <x14:cfRule type="expression" priority="1967" id="{1E986299-3ACC-45EB-86AF-48B4725B7348}">
            <xm:f>$Z$8='Assessment Details'!$Q$23</xm:f>
            <x14:dxf>
              <border>
                <left style="thin">
                  <color theme="0"/>
                </left>
                <right style="thin">
                  <color theme="0"/>
                </right>
                <top style="thin">
                  <color theme="0"/>
                </top>
                <bottom style="thin">
                  <color theme="0"/>
                </bottom>
                <vertical/>
                <horizontal/>
              </border>
            </x14:dxf>
          </x14:cfRule>
          <xm:sqref>U112:U114</xm:sqref>
        </x14:conditionalFormatting>
        <x14:conditionalFormatting xmlns:xm="http://schemas.microsoft.com/office/excel/2006/main">
          <x14:cfRule type="expression" priority="1956" id="{68C9DA0A-41E6-4F15-A030-01D389F3B82A}">
            <xm:f>$S$8='Assessment Details'!$Q$23</xm:f>
            <x14:dxf>
              <font>
                <color theme="0"/>
              </font>
              <fill>
                <patternFill>
                  <bgColor theme="0"/>
                </patternFill>
              </fill>
              <border>
                <vertical/>
                <horizontal/>
              </border>
            </x14:dxf>
          </x14:cfRule>
          <xm:sqref>N116</xm:sqref>
        </x14:conditionalFormatting>
        <x14:conditionalFormatting xmlns:xm="http://schemas.microsoft.com/office/excel/2006/main">
          <x14:cfRule type="expression" priority="1955" id="{465F5CC7-097C-46A4-B3E3-D5C4711C66D2}">
            <xm:f>$S$8='Assessment Details'!$Q$23</xm:f>
            <x14:dxf>
              <border>
                <left style="thin">
                  <color theme="0"/>
                </left>
                <right style="thin">
                  <color theme="0"/>
                </right>
                <top style="thin">
                  <color theme="0"/>
                </top>
                <bottom style="thin">
                  <color theme="0"/>
                </bottom>
                <vertical/>
                <horizontal/>
              </border>
            </x14:dxf>
          </x14:cfRule>
          <xm:sqref>N116</xm:sqref>
        </x14:conditionalFormatting>
        <x14:conditionalFormatting xmlns:xm="http://schemas.microsoft.com/office/excel/2006/main">
          <x14:cfRule type="expression" priority="1954" id="{B09F6E3B-E8D4-4827-A0F3-C8817143544E}">
            <xm:f>$Z$8='Assessment Details'!$Q$23</xm:f>
            <x14:dxf>
              <font>
                <color theme="0"/>
              </font>
              <fill>
                <patternFill>
                  <bgColor theme="0"/>
                </patternFill>
              </fill>
            </x14:dxf>
          </x14:cfRule>
          <xm:sqref>X116:Y116</xm:sqref>
        </x14:conditionalFormatting>
        <x14:conditionalFormatting xmlns:xm="http://schemas.microsoft.com/office/excel/2006/main">
          <x14:cfRule type="expression" priority="1953" id="{FA46903B-E196-4B2F-AA44-27F41C6DA8AE}">
            <xm:f>$Z$8='Assessment Details'!$Q$23</xm:f>
            <x14:dxf>
              <border>
                <left style="thin">
                  <color theme="0"/>
                </left>
                <right style="thin">
                  <color theme="0"/>
                </right>
                <top style="thin">
                  <color theme="0"/>
                </top>
                <bottom style="thin">
                  <color theme="0"/>
                </bottom>
                <vertical/>
                <horizontal/>
              </border>
            </x14:dxf>
          </x14:cfRule>
          <xm:sqref>X116:Y116</xm:sqref>
        </x14:conditionalFormatting>
        <x14:conditionalFormatting xmlns:xm="http://schemas.microsoft.com/office/excel/2006/main">
          <x14:cfRule type="expression" priority="1939" id="{9242C56E-CA89-438D-AEA3-F07652B9C657}">
            <xm:f>$Z$8='Assessment Details'!$Q$23</xm:f>
            <x14:dxf>
              <font>
                <color theme="0"/>
              </font>
              <fill>
                <patternFill>
                  <bgColor theme="0"/>
                </patternFill>
              </fill>
            </x14:dxf>
          </x14:cfRule>
          <xm:sqref>U116</xm:sqref>
        </x14:conditionalFormatting>
        <x14:conditionalFormatting xmlns:xm="http://schemas.microsoft.com/office/excel/2006/main">
          <x14:cfRule type="expression" priority="1938" id="{7730D062-E525-41F5-8B6A-F8A1FB99B752}">
            <xm:f>$Z$8='Assessment Details'!$Q$23</xm:f>
            <x14:dxf>
              <border>
                <left style="thin">
                  <color theme="0"/>
                </left>
                <right style="thin">
                  <color theme="0"/>
                </right>
                <top style="thin">
                  <color theme="0"/>
                </top>
                <bottom style="thin">
                  <color theme="0"/>
                </bottom>
                <vertical/>
                <horizontal/>
              </border>
            </x14:dxf>
          </x14:cfRule>
          <xm:sqref>U116</xm:sqref>
        </x14:conditionalFormatting>
        <x14:conditionalFormatting xmlns:xm="http://schemas.microsoft.com/office/excel/2006/main">
          <x14:cfRule type="expression" priority="1927" id="{2A9D427E-F068-408E-9A4C-FE1929F9F5E4}">
            <xm:f>$S$8='Assessment Details'!$Q$23</xm:f>
            <x14:dxf>
              <font>
                <color theme="0"/>
              </font>
              <fill>
                <patternFill>
                  <bgColor theme="0"/>
                </patternFill>
              </fill>
              <border>
                <vertical/>
                <horizontal/>
              </border>
            </x14:dxf>
          </x14:cfRule>
          <xm:sqref>N122</xm:sqref>
        </x14:conditionalFormatting>
        <x14:conditionalFormatting xmlns:xm="http://schemas.microsoft.com/office/excel/2006/main">
          <x14:cfRule type="expression" priority="1926" id="{F70B8EC2-3323-4B73-B934-DBAAEBE485B1}">
            <xm:f>$S$8='Assessment Details'!$Q$23</xm:f>
            <x14:dxf>
              <border>
                <left style="thin">
                  <color theme="0"/>
                </left>
                <right style="thin">
                  <color theme="0"/>
                </right>
                <top style="thin">
                  <color theme="0"/>
                </top>
                <bottom style="thin">
                  <color theme="0"/>
                </bottom>
                <vertical/>
                <horizontal/>
              </border>
            </x14:dxf>
          </x14:cfRule>
          <xm:sqref>N122</xm:sqref>
        </x14:conditionalFormatting>
        <x14:conditionalFormatting xmlns:xm="http://schemas.microsoft.com/office/excel/2006/main">
          <x14:cfRule type="expression" priority="1925" id="{D0EC2C93-38C2-4976-BC0B-22F92CEE26B0}">
            <xm:f>$Z$8='Assessment Details'!$Q$23</xm:f>
            <x14:dxf>
              <font>
                <color theme="0"/>
              </font>
              <fill>
                <patternFill>
                  <bgColor theme="0"/>
                </patternFill>
              </fill>
            </x14:dxf>
          </x14:cfRule>
          <xm:sqref>X121:Y122</xm:sqref>
        </x14:conditionalFormatting>
        <x14:conditionalFormatting xmlns:xm="http://schemas.microsoft.com/office/excel/2006/main">
          <x14:cfRule type="expression" priority="1924" id="{F128472A-ED34-44A1-932D-38AA3104F105}">
            <xm:f>$Z$8='Assessment Details'!$Q$23</xm:f>
            <x14:dxf>
              <border>
                <left style="thin">
                  <color theme="0"/>
                </left>
                <right style="thin">
                  <color theme="0"/>
                </right>
                <top style="thin">
                  <color theme="0"/>
                </top>
                <bottom style="thin">
                  <color theme="0"/>
                </bottom>
                <vertical/>
                <horizontal/>
              </border>
            </x14:dxf>
          </x14:cfRule>
          <xm:sqref>X121:Y122</xm:sqref>
        </x14:conditionalFormatting>
        <x14:conditionalFormatting xmlns:xm="http://schemas.microsoft.com/office/excel/2006/main">
          <x14:cfRule type="expression" priority="1910" id="{6CBC215F-BE7D-4245-AD38-D6540C807748}">
            <xm:f>$Z$8='Assessment Details'!$Q$23</xm:f>
            <x14:dxf>
              <font>
                <color theme="0"/>
              </font>
              <fill>
                <patternFill>
                  <bgColor theme="0"/>
                </patternFill>
              </fill>
            </x14:dxf>
          </x14:cfRule>
          <xm:sqref>U122</xm:sqref>
        </x14:conditionalFormatting>
        <x14:conditionalFormatting xmlns:xm="http://schemas.microsoft.com/office/excel/2006/main">
          <x14:cfRule type="expression" priority="1909" id="{0131B8D1-C936-431C-BCC9-E24458EECDC5}">
            <xm:f>$Z$8='Assessment Details'!$Q$23</xm:f>
            <x14:dxf>
              <border>
                <left style="thin">
                  <color theme="0"/>
                </left>
                <right style="thin">
                  <color theme="0"/>
                </right>
                <top style="thin">
                  <color theme="0"/>
                </top>
                <bottom style="thin">
                  <color theme="0"/>
                </bottom>
                <vertical/>
                <horizontal/>
              </border>
            </x14:dxf>
          </x14:cfRule>
          <xm:sqref>U122</xm:sqref>
        </x14:conditionalFormatting>
        <x14:conditionalFormatting xmlns:xm="http://schemas.microsoft.com/office/excel/2006/main">
          <x14:cfRule type="expression" priority="1898" id="{5EEE7B26-7396-44F8-ABF7-24978A46B1C3}">
            <xm:f>$S$8='Assessment Details'!$Q$23</xm:f>
            <x14:dxf>
              <font>
                <color theme="0"/>
              </font>
              <fill>
                <patternFill>
                  <bgColor theme="0"/>
                </patternFill>
              </fill>
              <border>
                <vertical/>
                <horizontal/>
              </border>
            </x14:dxf>
          </x14:cfRule>
          <xm:sqref>N123</xm:sqref>
        </x14:conditionalFormatting>
        <x14:conditionalFormatting xmlns:xm="http://schemas.microsoft.com/office/excel/2006/main">
          <x14:cfRule type="expression" priority="1897" id="{A8975BC4-D1ED-4A55-BFF5-4EF4B3D0E2D2}">
            <xm:f>$S$8='Assessment Details'!$Q$23</xm:f>
            <x14:dxf>
              <border>
                <left style="thin">
                  <color theme="0"/>
                </left>
                <right style="thin">
                  <color theme="0"/>
                </right>
                <top style="thin">
                  <color theme="0"/>
                </top>
                <bottom style="thin">
                  <color theme="0"/>
                </bottom>
                <vertical/>
                <horizontal/>
              </border>
            </x14:dxf>
          </x14:cfRule>
          <xm:sqref>N123</xm:sqref>
        </x14:conditionalFormatting>
        <x14:conditionalFormatting xmlns:xm="http://schemas.microsoft.com/office/excel/2006/main">
          <x14:cfRule type="expression" priority="1896" id="{23A9E5FA-49A4-4977-BD8C-4BFBBC074599}">
            <xm:f>$Z$8='Assessment Details'!$Q$23</xm:f>
            <x14:dxf>
              <font>
                <color theme="0"/>
              </font>
              <fill>
                <patternFill>
                  <bgColor theme="0"/>
                </patternFill>
              </fill>
            </x14:dxf>
          </x14:cfRule>
          <xm:sqref>X123:Y123</xm:sqref>
        </x14:conditionalFormatting>
        <x14:conditionalFormatting xmlns:xm="http://schemas.microsoft.com/office/excel/2006/main">
          <x14:cfRule type="expression" priority="1895" id="{5B988751-BAC6-4E77-BD88-FA97DAFB6FAC}">
            <xm:f>$Z$8='Assessment Details'!$Q$23</xm:f>
            <x14:dxf>
              <border>
                <left style="thin">
                  <color theme="0"/>
                </left>
                <right style="thin">
                  <color theme="0"/>
                </right>
                <top style="thin">
                  <color theme="0"/>
                </top>
                <bottom style="thin">
                  <color theme="0"/>
                </bottom>
                <vertical/>
                <horizontal/>
              </border>
            </x14:dxf>
          </x14:cfRule>
          <xm:sqref>X123:Y123</xm:sqref>
        </x14:conditionalFormatting>
        <x14:conditionalFormatting xmlns:xm="http://schemas.microsoft.com/office/excel/2006/main">
          <x14:cfRule type="expression" priority="1881" id="{25A8BB2B-FA58-4854-B931-12D08C4D10E1}">
            <xm:f>$Z$8='Assessment Details'!$Q$23</xm:f>
            <x14:dxf>
              <font>
                <color theme="0"/>
              </font>
              <fill>
                <patternFill>
                  <bgColor theme="0"/>
                </patternFill>
              </fill>
            </x14:dxf>
          </x14:cfRule>
          <xm:sqref>U123</xm:sqref>
        </x14:conditionalFormatting>
        <x14:conditionalFormatting xmlns:xm="http://schemas.microsoft.com/office/excel/2006/main">
          <x14:cfRule type="expression" priority="1880" id="{101DB69E-756E-4F0C-B9F7-8E8E0215D90A}">
            <xm:f>$Z$8='Assessment Details'!$Q$23</xm:f>
            <x14:dxf>
              <border>
                <left style="thin">
                  <color theme="0"/>
                </left>
                <right style="thin">
                  <color theme="0"/>
                </right>
                <top style="thin">
                  <color theme="0"/>
                </top>
                <bottom style="thin">
                  <color theme="0"/>
                </bottom>
                <vertical/>
                <horizontal/>
              </border>
            </x14:dxf>
          </x14:cfRule>
          <xm:sqref>U123</xm:sqref>
        </x14:conditionalFormatting>
        <x14:conditionalFormatting xmlns:xm="http://schemas.microsoft.com/office/excel/2006/main">
          <x14:cfRule type="expression" priority="1869" id="{4EF6E49C-BED4-406F-BE87-7B0360FDAB67}">
            <xm:f>$S$8='Assessment Details'!$Q$23</xm:f>
            <x14:dxf>
              <font>
                <color theme="0"/>
              </font>
              <fill>
                <patternFill>
                  <bgColor theme="0"/>
                </patternFill>
              </fill>
              <border>
                <vertical/>
                <horizontal/>
              </border>
            </x14:dxf>
          </x14:cfRule>
          <xm:sqref>N126:N127</xm:sqref>
        </x14:conditionalFormatting>
        <x14:conditionalFormatting xmlns:xm="http://schemas.microsoft.com/office/excel/2006/main">
          <x14:cfRule type="expression" priority="1868" id="{D3C34911-69F8-48A1-B6ED-DE82D42E819B}">
            <xm:f>$S$8='Assessment Details'!$Q$23</xm:f>
            <x14:dxf>
              <border>
                <left style="thin">
                  <color theme="0"/>
                </left>
                <right style="thin">
                  <color theme="0"/>
                </right>
                <top style="thin">
                  <color theme="0"/>
                </top>
                <bottom style="thin">
                  <color theme="0"/>
                </bottom>
                <vertical/>
                <horizontal/>
              </border>
            </x14:dxf>
          </x14:cfRule>
          <xm:sqref>N126:N127</xm:sqref>
        </x14:conditionalFormatting>
        <x14:conditionalFormatting xmlns:xm="http://schemas.microsoft.com/office/excel/2006/main">
          <x14:cfRule type="expression" priority="1867" id="{50060DB4-2C50-4831-A3DC-1D9336373361}">
            <xm:f>$Z$8='Assessment Details'!$Q$23</xm:f>
            <x14:dxf>
              <font>
                <color theme="0"/>
              </font>
              <fill>
                <patternFill>
                  <bgColor theme="0"/>
                </patternFill>
              </fill>
            </x14:dxf>
          </x14:cfRule>
          <xm:sqref>X125:Y127</xm:sqref>
        </x14:conditionalFormatting>
        <x14:conditionalFormatting xmlns:xm="http://schemas.microsoft.com/office/excel/2006/main">
          <x14:cfRule type="expression" priority="1866" id="{CF922480-7679-4BE3-8DC7-0D0FFD64470E}">
            <xm:f>$Z$8='Assessment Details'!$Q$23</xm:f>
            <x14:dxf>
              <border>
                <left style="thin">
                  <color theme="0"/>
                </left>
                <right style="thin">
                  <color theme="0"/>
                </right>
                <top style="thin">
                  <color theme="0"/>
                </top>
                <bottom style="thin">
                  <color theme="0"/>
                </bottom>
                <vertical/>
                <horizontal/>
              </border>
            </x14:dxf>
          </x14:cfRule>
          <xm:sqref>X125:Y127</xm:sqref>
        </x14:conditionalFormatting>
        <x14:conditionalFormatting xmlns:xm="http://schemas.microsoft.com/office/excel/2006/main">
          <x14:cfRule type="expression" priority="1852" id="{4A45FB35-FE9A-46BB-B9AD-F40678324215}">
            <xm:f>$Z$8='Assessment Details'!$Q$23</xm:f>
            <x14:dxf>
              <font>
                <color theme="0"/>
              </font>
              <fill>
                <patternFill>
                  <bgColor theme="0"/>
                </patternFill>
              </fill>
            </x14:dxf>
          </x14:cfRule>
          <xm:sqref>U126:U127</xm:sqref>
        </x14:conditionalFormatting>
        <x14:conditionalFormatting xmlns:xm="http://schemas.microsoft.com/office/excel/2006/main">
          <x14:cfRule type="expression" priority="1851" id="{F7821420-C628-4DF6-8DAC-B0AFE8E5A034}">
            <xm:f>$Z$8='Assessment Details'!$Q$23</xm:f>
            <x14:dxf>
              <border>
                <left style="thin">
                  <color theme="0"/>
                </left>
                <right style="thin">
                  <color theme="0"/>
                </right>
                <top style="thin">
                  <color theme="0"/>
                </top>
                <bottom style="thin">
                  <color theme="0"/>
                </bottom>
                <vertical/>
                <horizontal/>
              </border>
            </x14:dxf>
          </x14:cfRule>
          <xm:sqref>U126:U127</xm:sqref>
        </x14:conditionalFormatting>
        <x14:conditionalFormatting xmlns:xm="http://schemas.microsoft.com/office/excel/2006/main">
          <x14:cfRule type="expression" priority="1840" id="{B92208E3-902A-4A3B-A3BA-3CCAB64D775D}">
            <xm:f>$S$8='Assessment Details'!$Q$23</xm:f>
            <x14:dxf>
              <font>
                <color theme="0"/>
              </font>
              <fill>
                <patternFill>
                  <bgColor theme="0"/>
                </patternFill>
              </fill>
              <border>
                <vertical/>
                <horizontal/>
              </border>
            </x14:dxf>
          </x14:cfRule>
          <xm:sqref>N130:N131</xm:sqref>
        </x14:conditionalFormatting>
        <x14:conditionalFormatting xmlns:xm="http://schemas.microsoft.com/office/excel/2006/main">
          <x14:cfRule type="expression" priority="1839" id="{FC32DA5C-ADDF-4F88-BA91-610EC7A39372}">
            <xm:f>$S$8='Assessment Details'!$Q$23</xm:f>
            <x14:dxf>
              <border>
                <left style="thin">
                  <color theme="0"/>
                </left>
                <right style="thin">
                  <color theme="0"/>
                </right>
                <top style="thin">
                  <color theme="0"/>
                </top>
                <bottom style="thin">
                  <color theme="0"/>
                </bottom>
                <vertical/>
                <horizontal/>
              </border>
            </x14:dxf>
          </x14:cfRule>
          <xm:sqref>N130:N131</xm:sqref>
        </x14:conditionalFormatting>
        <x14:conditionalFormatting xmlns:xm="http://schemas.microsoft.com/office/excel/2006/main">
          <x14:cfRule type="expression" priority="1838" id="{D8C23F1C-454E-4E05-912D-430FD2303616}">
            <xm:f>$Z$8='Assessment Details'!$Q$23</xm:f>
            <x14:dxf>
              <font>
                <color theme="0"/>
              </font>
              <fill>
                <patternFill>
                  <bgColor theme="0"/>
                </patternFill>
              </fill>
            </x14:dxf>
          </x14:cfRule>
          <xm:sqref>X129:Y131</xm:sqref>
        </x14:conditionalFormatting>
        <x14:conditionalFormatting xmlns:xm="http://schemas.microsoft.com/office/excel/2006/main">
          <x14:cfRule type="expression" priority="1837" id="{53437D6B-49B0-41C9-89F4-EEC6C6271F13}">
            <xm:f>$Z$8='Assessment Details'!$Q$23</xm:f>
            <x14:dxf>
              <border>
                <left style="thin">
                  <color theme="0"/>
                </left>
                <right style="thin">
                  <color theme="0"/>
                </right>
                <top style="thin">
                  <color theme="0"/>
                </top>
                <bottom style="thin">
                  <color theme="0"/>
                </bottom>
                <vertical/>
                <horizontal/>
              </border>
            </x14:dxf>
          </x14:cfRule>
          <xm:sqref>X129:Y131</xm:sqref>
        </x14:conditionalFormatting>
        <x14:conditionalFormatting xmlns:xm="http://schemas.microsoft.com/office/excel/2006/main">
          <x14:cfRule type="expression" priority="1823" id="{53C57763-7EE5-400D-89B9-CA43CE3A32A4}">
            <xm:f>$Z$8='Assessment Details'!$Q$23</xm:f>
            <x14:dxf>
              <font>
                <color theme="0"/>
              </font>
              <fill>
                <patternFill>
                  <bgColor theme="0"/>
                </patternFill>
              </fill>
            </x14:dxf>
          </x14:cfRule>
          <xm:sqref>U130:U131</xm:sqref>
        </x14:conditionalFormatting>
        <x14:conditionalFormatting xmlns:xm="http://schemas.microsoft.com/office/excel/2006/main">
          <x14:cfRule type="expression" priority="1822" id="{8BCEF200-DDC5-4E75-94A7-174946B7B2C8}">
            <xm:f>$Z$8='Assessment Details'!$Q$23</xm:f>
            <x14:dxf>
              <border>
                <left style="thin">
                  <color theme="0"/>
                </left>
                <right style="thin">
                  <color theme="0"/>
                </right>
                <top style="thin">
                  <color theme="0"/>
                </top>
                <bottom style="thin">
                  <color theme="0"/>
                </bottom>
                <vertical/>
                <horizontal/>
              </border>
            </x14:dxf>
          </x14:cfRule>
          <xm:sqref>U130:U131</xm:sqref>
        </x14:conditionalFormatting>
        <x14:conditionalFormatting xmlns:xm="http://schemas.microsoft.com/office/excel/2006/main">
          <x14:cfRule type="expression" priority="1811" id="{E0A16678-FC5B-4F26-AF0E-E9AFC51AFB43}">
            <xm:f>$S$8='Assessment Details'!$Q$23</xm:f>
            <x14:dxf>
              <font>
                <color theme="0"/>
              </font>
              <fill>
                <patternFill>
                  <bgColor theme="0"/>
                </patternFill>
              </fill>
              <border>
                <vertical/>
                <horizontal/>
              </border>
            </x14:dxf>
          </x14:cfRule>
          <xm:sqref>N134:N136</xm:sqref>
        </x14:conditionalFormatting>
        <x14:conditionalFormatting xmlns:xm="http://schemas.microsoft.com/office/excel/2006/main">
          <x14:cfRule type="expression" priority="1810" id="{5E2010F1-4E53-4B39-AA66-3C4D0BAC458C}">
            <xm:f>$S$8='Assessment Details'!$Q$23</xm:f>
            <x14:dxf>
              <border>
                <left style="thin">
                  <color theme="0"/>
                </left>
                <right style="thin">
                  <color theme="0"/>
                </right>
                <top style="thin">
                  <color theme="0"/>
                </top>
                <bottom style="thin">
                  <color theme="0"/>
                </bottom>
                <vertical/>
                <horizontal/>
              </border>
            </x14:dxf>
          </x14:cfRule>
          <xm:sqref>N134:N136</xm:sqref>
        </x14:conditionalFormatting>
        <x14:conditionalFormatting xmlns:xm="http://schemas.microsoft.com/office/excel/2006/main">
          <x14:cfRule type="expression" priority="1809" id="{2C445FB8-32E5-4052-ADCA-D641C5E82EFE}">
            <xm:f>$Z$8='Assessment Details'!$Q$23</xm:f>
            <x14:dxf>
              <font>
                <color theme="0"/>
              </font>
              <fill>
                <patternFill>
                  <bgColor theme="0"/>
                </patternFill>
              </fill>
            </x14:dxf>
          </x14:cfRule>
          <xm:sqref>X133:Y136</xm:sqref>
        </x14:conditionalFormatting>
        <x14:conditionalFormatting xmlns:xm="http://schemas.microsoft.com/office/excel/2006/main">
          <x14:cfRule type="expression" priority="1808" id="{7BC0A505-FFBA-48EA-97EA-AB95FD4CDA3E}">
            <xm:f>$Z$8='Assessment Details'!$Q$23</xm:f>
            <x14:dxf>
              <border>
                <left style="thin">
                  <color theme="0"/>
                </left>
                <right style="thin">
                  <color theme="0"/>
                </right>
                <top style="thin">
                  <color theme="0"/>
                </top>
                <bottom style="thin">
                  <color theme="0"/>
                </bottom>
                <vertical/>
                <horizontal/>
              </border>
            </x14:dxf>
          </x14:cfRule>
          <xm:sqref>X133:Y136</xm:sqref>
        </x14:conditionalFormatting>
        <x14:conditionalFormatting xmlns:xm="http://schemas.microsoft.com/office/excel/2006/main">
          <x14:cfRule type="expression" priority="1794" id="{7479CEDE-CE48-46F5-B3CE-3EDBA5F25AB2}">
            <xm:f>$Z$8='Assessment Details'!$Q$23</xm:f>
            <x14:dxf>
              <font>
                <color theme="0"/>
              </font>
              <fill>
                <patternFill>
                  <bgColor theme="0"/>
                </patternFill>
              </fill>
            </x14:dxf>
          </x14:cfRule>
          <xm:sqref>U134:U136</xm:sqref>
        </x14:conditionalFormatting>
        <x14:conditionalFormatting xmlns:xm="http://schemas.microsoft.com/office/excel/2006/main">
          <x14:cfRule type="expression" priority="1793" id="{B059EEFB-8402-4A30-961B-BAAB98C9CA61}">
            <xm:f>$Z$8='Assessment Details'!$Q$23</xm:f>
            <x14:dxf>
              <border>
                <left style="thin">
                  <color theme="0"/>
                </left>
                <right style="thin">
                  <color theme="0"/>
                </right>
                <top style="thin">
                  <color theme="0"/>
                </top>
                <bottom style="thin">
                  <color theme="0"/>
                </bottom>
                <vertical/>
                <horizontal/>
              </border>
            </x14:dxf>
          </x14:cfRule>
          <xm:sqref>U134:U136</xm:sqref>
        </x14:conditionalFormatting>
        <x14:conditionalFormatting xmlns:xm="http://schemas.microsoft.com/office/excel/2006/main">
          <x14:cfRule type="expression" priority="1782" id="{7D2398AA-0000-47A2-9781-B5DDD89E5915}">
            <xm:f>$S$8='Assessment Details'!$Q$23</xm:f>
            <x14:dxf>
              <font>
                <color theme="0"/>
              </font>
              <fill>
                <patternFill>
                  <bgColor theme="0"/>
                </patternFill>
              </fill>
              <border>
                <vertical/>
                <horizontal/>
              </border>
            </x14:dxf>
          </x14:cfRule>
          <xm:sqref>N140:N142</xm:sqref>
        </x14:conditionalFormatting>
        <x14:conditionalFormatting xmlns:xm="http://schemas.microsoft.com/office/excel/2006/main">
          <x14:cfRule type="expression" priority="1781" id="{5C2D7F45-EF4C-4E07-804B-000117299471}">
            <xm:f>$S$8='Assessment Details'!$Q$23</xm:f>
            <x14:dxf>
              <border>
                <left style="thin">
                  <color theme="0"/>
                </left>
                <right style="thin">
                  <color theme="0"/>
                </right>
                <top style="thin">
                  <color theme="0"/>
                </top>
                <bottom style="thin">
                  <color theme="0"/>
                </bottom>
                <vertical/>
                <horizontal/>
              </border>
            </x14:dxf>
          </x14:cfRule>
          <xm:sqref>N140:N142</xm:sqref>
        </x14:conditionalFormatting>
        <x14:conditionalFormatting xmlns:xm="http://schemas.microsoft.com/office/excel/2006/main">
          <x14:cfRule type="expression" priority="1780" id="{1925A519-29FE-47D1-856B-6EBA4E436B5F}">
            <xm:f>$Z$8='Assessment Details'!$Q$23</xm:f>
            <x14:dxf>
              <font>
                <color theme="0"/>
              </font>
              <fill>
                <patternFill>
                  <bgColor theme="0"/>
                </patternFill>
              </fill>
            </x14:dxf>
          </x14:cfRule>
          <xm:sqref>X140:Y142</xm:sqref>
        </x14:conditionalFormatting>
        <x14:conditionalFormatting xmlns:xm="http://schemas.microsoft.com/office/excel/2006/main">
          <x14:cfRule type="expression" priority="1779" id="{45006A04-6D52-4DAB-B815-D4A1E7C191C6}">
            <xm:f>$Z$8='Assessment Details'!$Q$23</xm:f>
            <x14:dxf>
              <border>
                <left style="thin">
                  <color theme="0"/>
                </left>
                <right style="thin">
                  <color theme="0"/>
                </right>
                <top style="thin">
                  <color theme="0"/>
                </top>
                <bottom style="thin">
                  <color theme="0"/>
                </bottom>
                <vertical/>
                <horizontal/>
              </border>
            </x14:dxf>
          </x14:cfRule>
          <xm:sqref>X140:Y142</xm:sqref>
        </x14:conditionalFormatting>
        <x14:conditionalFormatting xmlns:xm="http://schemas.microsoft.com/office/excel/2006/main">
          <x14:cfRule type="expression" priority="1765" id="{4CF5F6A5-1E13-47D3-971E-F3306A90C6A5}">
            <xm:f>$Z$8='Assessment Details'!$Q$23</xm:f>
            <x14:dxf>
              <font>
                <color theme="0"/>
              </font>
              <fill>
                <patternFill>
                  <bgColor theme="0"/>
                </patternFill>
              </fill>
            </x14:dxf>
          </x14:cfRule>
          <xm:sqref>U140:U142</xm:sqref>
        </x14:conditionalFormatting>
        <x14:conditionalFormatting xmlns:xm="http://schemas.microsoft.com/office/excel/2006/main">
          <x14:cfRule type="expression" priority="1764" id="{BDB1FD9F-F546-4D48-8CC0-B2F32DA0D5B9}">
            <xm:f>$Z$8='Assessment Details'!$Q$23</xm:f>
            <x14:dxf>
              <border>
                <left style="thin">
                  <color theme="0"/>
                </left>
                <right style="thin">
                  <color theme="0"/>
                </right>
                <top style="thin">
                  <color theme="0"/>
                </top>
                <bottom style="thin">
                  <color theme="0"/>
                </bottom>
                <vertical/>
                <horizontal/>
              </border>
            </x14:dxf>
          </x14:cfRule>
          <xm:sqref>U140:U142</xm:sqref>
        </x14:conditionalFormatting>
        <x14:conditionalFormatting xmlns:xm="http://schemas.microsoft.com/office/excel/2006/main">
          <x14:cfRule type="expression" priority="1753" id="{67140F08-C9FC-46DD-A0AB-3302CF0056E4}">
            <xm:f>$S$8='Assessment Details'!$Q$23</xm:f>
            <x14:dxf>
              <font>
                <color theme="0"/>
              </font>
              <fill>
                <patternFill>
                  <bgColor theme="0"/>
                </patternFill>
              </fill>
              <border>
                <vertical/>
                <horizontal/>
              </border>
            </x14:dxf>
          </x14:cfRule>
          <xm:sqref>N144:N146</xm:sqref>
        </x14:conditionalFormatting>
        <x14:conditionalFormatting xmlns:xm="http://schemas.microsoft.com/office/excel/2006/main">
          <x14:cfRule type="expression" priority="1752" id="{A85ACC34-0D8B-4107-8A96-E3B853C679FE}">
            <xm:f>$S$8='Assessment Details'!$Q$23</xm:f>
            <x14:dxf>
              <border>
                <left style="thin">
                  <color theme="0"/>
                </left>
                <right style="thin">
                  <color theme="0"/>
                </right>
                <top style="thin">
                  <color theme="0"/>
                </top>
                <bottom style="thin">
                  <color theme="0"/>
                </bottom>
                <vertical/>
                <horizontal/>
              </border>
            </x14:dxf>
          </x14:cfRule>
          <xm:sqref>N144:N146</xm:sqref>
        </x14:conditionalFormatting>
        <x14:conditionalFormatting xmlns:xm="http://schemas.microsoft.com/office/excel/2006/main">
          <x14:cfRule type="expression" priority="1751" id="{032792DF-393A-49F6-90A1-EDD69B8A490F}">
            <xm:f>$Z$8='Assessment Details'!$Q$23</xm:f>
            <x14:dxf>
              <font>
                <color theme="0"/>
              </font>
              <fill>
                <patternFill>
                  <bgColor theme="0"/>
                </patternFill>
              </fill>
            </x14:dxf>
          </x14:cfRule>
          <xm:sqref>X144:Y146</xm:sqref>
        </x14:conditionalFormatting>
        <x14:conditionalFormatting xmlns:xm="http://schemas.microsoft.com/office/excel/2006/main">
          <x14:cfRule type="expression" priority="1750" id="{BC2CB9DA-69B3-45A6-9FCD-E6C9BA123E03}">
            <xm:f>$Z$8='Assessment Details'!$Q$23</xm:f>
            <x14:dxf>
              <border>
                <left style="thin">
                  <color theme="0"/>
                </left>
                <right style="thin">
                  <color theme="0"/>
                </right>
                <top style="thin">
                  <color theme="0"/>
                </top>
                <bottom style="thin">
                  <color theme="0"/>
                </bottom>
                <vertical/>
                <horizontal/>
              </border>
            </x14:dxf>
          </x14:cfRule>
          <xm:sqref>X144:Y146</xm:sqref>
        </x14:conditionalFormatting>
        <x14:conditionalFormatting xmlns:xm="http://schemas.microsoft.com/office/excel/2006/main">
          <x14:cfRule type="expression" priority="1736" id="{3EA07825-143D-4430-A697-A414DBE2A254}">
            <xm:f>$Z$8='Assessment Details'!$Q$23</xm:f>
            <x14:dxf>
              <font>
                <color theme="0"/>
              </font>
              <fill>
                <patternFill>
                  <bgColor theme="0"/>
                </patternFill>
              </fill>
            </x14:dxf>
          </x14:cfRule>
          <xm:sqref>U144:U146</xm:sqref>
        </x14:conditionalFormatting>
        <x14:conditionalFormatting xmlns:xm="http://schemas.microsoft.com/office/excel/2006/main">
          <x14:cfRule type="expression" priority="1735" id="{6F66AE9F-82CF-491A-A146-85F93A24A0EB}">
            <xm:f>$Z$8='Assessment Details'!$Q$23</xm:f>
            <x14:dxf>
              <border>
                <left style="thin">
                  <color theme="0"/>
                </left>
                <right style="thin">
                  <color theme="0"/>
                </right>
                <top style="thin">
                  <color theme="0"/>
                </top>
                <bottom style="thin">
                  <color theme="0"/>
                </bottom>
                <vertical/>
                <horizontal/>
              </border>
            </x14:dxf>
          </x14:cfRule>
          <xm:sqref>U144:U146</xm:sqref>
        </x14:conditionalFormatting>
        <x14:conditionalFormatting xmlns:xm="http://schemas.microsoft.com/office/excel/2006/main">
          <x14:cfRule type="expression" priority="1724" id="{44E17499-C2F6-46EF-B2AA-9A3AB76E0407}">
            <xm:f>$S$8='Assessment Details'!$Q$23</xm:f>
            <x14:dxf>
              <font>
                <color theme="0"/>
              </font>
              <fill>
                <patternFill>
                  <bgColor theme="0"/>
                </patternFill>
              </fill>
              <border>
                <vertical/>
                <horizontal/>
              </border>
            </x14:dxf>
          </x14:cfRule>
          <xm:sqref>N153:N154</xm:sqref>
        </x14:conditionalFormatting>
        <x14:conditionalFormatting xmlns:xm="http://schemas.microsoft.com/office/excel/2006/main">
          <x14:cfRule type="expression" priority="1723" id="{1502D2C8-A2B7-45DE-97E7-424E5399048E}">
            <xm:f>$S$8='Assessment Details'!$Q$23</xm:f>
            <x14:dxf>
              <border>
                <left style="thin">
                  <color theme="0"/>
                </left>
                <right style="thin">
                  <color theme="0"/>
                </right>
                <top style="thin">
                  <color theme="0"/>
                </top>
                <bottom style="thin">
                  <color theme="0"/>
                </bottom>
                <vertical/>
                <horizontal/>
              </border>
            </x14:dxf>
          </x14:cfRule>
          <xm:sqref>N153:N154</xm:sqref>
        </x14:conditionalFormatting>
        <x14:conditionalFormatting xmlns:xm="http://schemas.microsoft.com/office/excel/2006/main">
          <x14:cfRule type="expression" priority="1722" id="{39095236-53C3-4F3D-950B-C36B50CD6384}">
            <xm:f>$Z$8='Assessment Details'!$Q$23</xm:f>
            <x14:dxf>
              <font>
                <color theme="0"/>
              </font>
              <fill>
                <patternFill>
                  <bgColor theme="0"/>
                </patternFill>
              </fill>
            </x14:dxf>
          </x14:cfRule>
          <xm:sqref>X152:Y154</xm:sqref>
        </x14:conditionalFormatting>
        <x14:conditionalFormatting xmlns:xm="http://schemas.microsoft.com/office/excel/2006/main">
          <x14:cfRule type="expression" priority="1721" id="{8FF76635-9554-4CD4-B092-34C9BF80048C}">
            <xm:f>$Z$8='Assessment Details'!$Q$23</xm:f>
            <x14:dxf>
              <border>
                <left style="thin">
                  <color theme="0"/>
                </left>
                <right style="thin">
                  <color theme="0"/>
                </right>
                <top style="thin">
                  <color theme="0"/>
                </top>
                <bottom style="thin">
                  <color theme="0"/>
                </bottom>
                <vertical/>
                <horizontal/>
              </border>
            </x14:dxf>
          </x14:cfRule>
          <xm:sqref>X152:Y154</xm:sqref>
        </x14:conditionalFormatting>
        <x14:conditionalFormatting xmlns:xm="http://schemas.microsoft.com/office/excel/2006/main">
          <x14:cfRule type="expression" priority="1707" id="{D587C718-D0FA-4E96-9278-638905D4A4F8}">
            <xm:f>$Z$8='Assessment Details'!$Q$23</xm:f>
            <x14:dxf>
              <font>
                <color theme="0"/>
              </font>
              <fill>
                <patternFill>
                  <bgColor theme="0"/>
                </patternFill>
              </fill>
            </x14:dxf>
          </x14:cfRule>
          <xm:sqref>U153:U154</xm:sqref>
        </x14:conditionalFormatting>
        <x14:conditionalFormatting xmlns:xm="http://schemas.microsoft.com/office/excel/2006/main">
          <x14:cfRule type="expression" priority="1706" id="{4AD8FE10-2A04-439F-A3D7-D849B225CA6B}">
            <xm:f>$Z$8='Assessment Details'!$Q$23</xm:f>
            <x14:dxf>
              <border>
                <left style="thin">
                  <color theme="0"/>
                </left>
                <right style="thin">
                  <color theme="0"/>
                </right>
                <top style="thin">
                  <color theme="0"/>
                </top>
                <bottom style="thin">
                  <color theme="0"/>
                </bottom>
                <vertical/>
                <horizontal/>
              </border>
            </x14:dxf>
          </x14:cfRule>
          <xm:sqref>U153:U154</xm:sqref>
        </x14:conditionalFormatting>
        <x14:conditionalFormatting xmlns:xm="http://schemas.microsoft.com/office/excel/2006/main">
          <x14:cfRule type="expression" priority="1695" id="{8111D68C-ED4E-4E20-A6EF-766488248D03}">
            <xm:f>$S$8='Assessment Details'!$Q$23</xm:f>
            <x14:dxf>
              <font>
                <color theme="0"/>
              </font>
              <fill>
                <patternFill>
                  <bgColor theme="0"/>
                </patternFill>
              </fill>
              <border>
                <vertical/>
                <horizontal/>
              </border>
            </x14:dxf>
          </x14:cfRule>
          <xm:sqref>N157</xm:sqref>
        </x14:conditionalFormatting>
        <x14:conditionalFormatting xmlns:xm="http://schemas.microsoft.com/office/excel/2006/main">
          <x14:cfRule type="expression" priority="1694" id="{94DD3C6F-C113-46B5-9523-B3A9F444C760}">
            <xm:f>$S$8='Assessment Details'!$Q$23</xm:f>
            <x14:dxf>
              <border>
                <left style="thin">
                  <color theme="0"/>
                </left>
                <right style="thin">
                  <color theme="0"/>
                </right>
                <top style="thin">
                  <color theme="0"/>
                </top>
                <bottom style="thin">
                  <color theme="0"/>
                </bottom>
                <vertical/>
                <horizontal/>
              </border>
            </x14:dxf>
          </x14:cfRule>
          <xm:sqref>N157</xm:sqref>
        </x14:conditionalFormatting>
        <x14:conditionalFormatting xmlns:xm="http://schemas.microsoft.com/office/excel/2006/main">
          <x14:cfRule type="expression" priority="1693" id="{14EBF0E0-11D4-4858-AE0C-B018D8C3BE5D}">
            <xm:f>$Z$8='Assessment Details'!$Q$23</xm:f>
            <x14:dxf>
              <font>
                <color theme="0"/>
              </font>
              <fill>
                <patternFill>
                  <bgColor theme="0"/>
                </patternFill>
              </fill>
            </x14:dxf>
          </x14:cfRule>
          <xm:sqref>X157:Y157</xm:sqref>
        </x14:conditionalFormatting>
        <x14:conditionalFormatting xmlns:xm="http://schemas.microsoft.com/office/excel/2006/main">
          <x14:cfRule type="expression" priority="1692" id="{410E04A5-9E98-42E7-9FF9-FD96BDFC383F}">
            <xm:f>$Z$8='Assessment Details'!$Q$23</xm:f>
            <x14:dxf>
              <border>
                <left style="thin">
                  <color theme="0"/>
                </left>
                <right style="thin">
                  <color theme="0"/>
                </right>
                <top style="thin">
                  <color theme="0"/>
                </top>
                <bottom style="thin">
                  <color theme="0"/>
                </bottom>
                <vertical/>
                <horizontal/>
              </border>
            </x14:dxf>
          </x14:cfRule>
          <xm:sqref>X157:Y157</xm:sqref>
        </x14:conditionalFormatting>
        <x14:conditionalFormatting xmlns:xm="http://schemas.microsoft.com/office/excel/2006/main">
          <x14:cfRule type="expression" priority="1678" id="{EFD004EF-0AD9-4C0E-A482-FE351BFD77E4}">
            <xm:f>$Z$8='Assessment Details'!$Q$23</xm:f>
            <x14:dxf>
              <font>
                <color theme="0"/>
              </font>
              <fill>
                <patternFill>
                  <bgColor theme="0"/>
                </patternFill>
              </fill>
            </x14:dxf>
          </x14:cfRule>
          <xm:sqref>U157</xm:sqref>
        </x14:conditionalFormatting>
        <x14:conditionalFormatting xmlns:xm="http://schemas.microsoft.com/office/excel/2006/main">
          <x14:cfRule type="expression" priority="1677" id="{C9BE59CD-01E6-4E04-81D4-CC65C596A545}">
            <xm:f>$Z$8='Assessment Details'!$Q$23</xm:f>
            <x14:dxf>
              <border>
                <left style="thin">
                  <color theme="0"/>
                </left>
                <right style="thin">
                  <color theme="0"/>
                </right>
                <top style="thin">
                  <color theme="0"/>
                </top>
                <bottom style="thin">
                  <color theme="0"/>
                </bottom>
                <vertical/>
                <horizontal/>
              </border>
            </x14:dxf>
          </x14:cfRule>
          <xm:sqref>U157</xm:sqref>
        </x14:conditionalFormatting>
        <x14:conditionalFormatting xmlns:xm="http://schemas.microsoft.com/office/excel/2006/main">
          <x14:cfRule type="expression" priority="1666" id="{E93C857C-28FB-4390-B46A-FF8DF2C14CA9}">
            <xm:f>$S$8='Assessment Details'!$Q$23</xm:f>
            <x14:dxf>
              <font>
                <color theme="0"/>
              </font>
              <fill>
                <patternFill>
                  <bgColor theme="0"/>
                </patternFill>
              </fill>
              <border>
                <vertical/>
                <horizontal/>
              </border>
            </x14:dxf>
          </x14:cfRule>
          <xm:sqref>N159</xm:sqref>
        </x14:conditionalFormatting>
        <x14:conditionalFormatting xmlns:xm="http://schemas.microsoft.com/office/excel/2006/main">
          <x14:cfRule type="expression" priority="1665" id="{FB83C662-E61F-403A-B5C3-A775A006BD5A}">
            <xm:f>$S$8='Assessment Details'!$Q$23</xm:f>
            <x14:dxf>
              <border>
                <left style="thin">
                  <color theme="0"/>
                </left>
                <right style="thin">
                  <color theme="0"/>
                </right>
                <top style="thin">
                  <color theme="0"/>
                </top>
                <bottom style="thin">
                  <color theme="0"/>
                </bottom>
                <vertical/>
                <horizontal/>
              </border>
            </x14:dxf>
          </x14:cfRule>
          <xm:sqref>N159</xm:sqref>
        </x14:conditionalFormatting>
        <x14:conditionalFormatting xmlns:xm="http://schemas.microsoft.com/office/excel/2006/main">
          <x14:cfRule type="expression" priority="1664" id="{33A6284F-614F-4C7F-B72F-847D6D3039AD}">
            <xm:f>$Z$8='Assessment Details'!$Q$23</xm:f>
            <x14:dxf>
              <font>
                <color theme="0"/>
              </font>
              <fill>
                <patternFill>
                  <bgColor theme="0"/>
                </patternFill>
              </fill>
            </x14:dxf>
          </x14:cfRule>
          <xm:sqref>X159:Y159</xm:sqref>
        </x14:conditionalFormatting>
        <x14:conditionalFormatting xmlns:xm="http://schemas.microsoft.com/office/excel/2006/main">
          <x14:cfRule type="expression" priority="1663" id="{7029ABC3-A3B5-4C44-9CDE-266B9BDFB425}">
            <xm:f>$Z$8='Assessment Details'!$Q$23</xm:f>
            <x14:dxf>
              <border>
                <left style="thin">
                  <color theme="0"/>
                </left>
                <right style="thin">
                  <color theme="0"/>
                </right>
                <top style="thin">
                  <color theme="0"/>
                </top>
                <bottom style="thin">
                  <color theme="0"/>
                </bottom>
                <vertical/>
                <horizontal/>
              </border>
            </x14:dxf>
          </x14:cfRule>
          <xm:sqref>X159:Y159</xm:sqref>
        </x14:conditionalFormatting>
        <x14:conditionalFormatting xmlns:xm="http://schemas.microsoft.com/office/excel/2006/main">
          <x14:cfRule type="expression" priority="1649" id="{505F3318-0C46-4E24-842E-54A82A74FDB0}">
            <xm:f>$Z$8='Assessment Details'!$Q$23</xm:f>
            <x14:dxf>
              <font>
                <color theme="0"/>
              </font>
              <fill>
                <patternFill>
                  <bgColor theme="0"/>
                </patternFill>
              </fill>
            </x14:dxf>
          </x14:cfRule>
          <xm:sqref>U159</xm:sqref>
        </x14:conditionalFormatting>
        <x14:conditionalFormatting xmlns:xm="http://schemas.microsoft.com/office/excel/2006/main">
          <x14:cfRule type="expression" priority="1648" id="{A6A933DF-C393-4F14-9D8E-B37AEA7D3CB9}">
            <xm:f>$Z$8='Assessment Details'!$Q$23</xm:f>
            <x14:dxf>
              <border>
                <left style="thin">
                  <color theme="0"/>
                </left>
                <right style="thin">
                  <color theme="0"/>
                </right>
                <top style="thin">
                  <color theme="0"/>
                </top>
                <bottom style="thin">
                  <color theme="0"/>
                </bottom>
                <vertical/>
                <horizontal/>
              </border>
            </x14:dxf>
          </x14:cfRule>
          <xm:sqref>U159</xm:sqref>
        </x14:conditionalFormatting>
        <x14:conditionalFormatting xmlns:xm="http://schemas.microsoft.com/office/excel/2006/main">
          <x14:cfRule type="expression" priority="1637" id="{B5BAF25E-EFB2-4473-9E7D-9B148D482A30}">
            <xm:f>$S$8='Assessment Details'!$Q$23</xm:f>
            <x14:dxf>
              <font>
                <color theme="0"/>
              </font>
              <fill>
                <patternFill>
                  <bgColor theme="0"/>
                </patternFill>
              </fill>
              <border>
                <vertical/>
                <horizontal/>
              </border>
            </x14:dxf>
          </x14:cfRule>
          <xm:sqref>N161</xm:sqref>
        </x14:conditionalFormatting>
        <x14:conditionalFormatting xmlns:xm="http://schemas.microsoft.com/office/excel/2006/main">
          <x14:cfRule type="expression" priority="1636" id="{C3B1ECA9-75EA-4F8E-A27C-14108B7F0209}">
            <xm:f>$S$8='Assessment Details'!$Q$23</xm:f>
            <x14:dxf>
              <border>
                <left style="thin">
                  <color theme="0"/>
                </left>
                <right style="thin">
                  <color theme="0"/>
                </right>
                <top style="thin">
                  <color theme="0"/>
                </top>
                <bottom style="thin">
                  <color theme="0"/>
                </bottom>
                <vertical/>
                <horizontal/>
              </border>
            </x14:dxf>
          </x14:cfRule>
          <xm:sqref>N161</xm:sqref>
        </x14:conditionalFormatting>
        <x14:conditionalFormatting xmlns:xm="http://schemas.microsoft.com/office/excel/2006/main">
          <x14:cfRule type="expression" priority="1635" id="{FAD0F942-33DA-46B1-AC40-39F2D6CB26A2}">
            <xm:f>$Z$8='Assessment Details'!$Q$23</xm:f>
            <x14:dxf>
              <font>
                <color theme="0"/>
              </font>
              <fill>
                <patternFill>
                  <bgColor theme="0"/>
                </patternFill>
              </fill>
            </x14:dxf>
          </x14:cfRule>
          <xm:sqref>X161:Y161</xm:sqref>
        </x14:conditionalFormatting>
        <x14:conditionalFormatting xmlns:xm="http://schemas.microsoft.com/office/excel/2006/main">
          <x14:cfRule type="expression" priority="1634" id="{D95FB0B0-9E07-42C2-843E-F1D49A42E140}">
            <xm:f>$Z$8='Assessment Details'!$Q$23</xm:f>
            <x14:dxf>
              <border>
                <left style="thin">
                  <color theme="0"/>
                </left>
                <right style="thin">
                  <color theme="0"/>
                </right>
                <top style="thin">
                  <color theme="0"/>
                </top>
                <bottom style="thin">
                  <color theme="0"/>
                </bottom>
                <vertical/>
                <horizontal/>
              </border>
            </x14:dxf>
          </x14:cfRule>
          <xm:sqref>X161:Y161</xm:sqref>
        </x14:conditionalFormatting>
        <x14:conditionalFormatting xmlns:xm="http://schemas.microsoft.com/office/excel/2006/main">
          <x14:cfRule type="expression" priority="1620" id="{1706D565-566F-42D6-BAE3-C0C23E307B68}">
            <xm:f>$Z$8='Assessment Details'!$Q$23</xm:f>
            <x14:dxf>
              <font>
                <color theme="0"/>
              </font>
              <fill>
                <patternFill>
                  <bgColor theme="0"/>
                </patternFill>
              </fill>
            </x14:dxf>
          </x14:cfRule>
          <xm:sqref>U161</xm:sqref>
        </x14:conditionalFormatting>
        <x14:conditionalFormatting xmlns:xm="http://schemas.microsoft.com/office/excel/2006/main">
          <x14:cfRule type="expression" priority="1619" id="{21586835-502C-4CFF-AF49-D460AAC12459}">
            <xm:f>$Z$8='Assessment Details'!$Q$23</xm:f>
            <x14:dxf>
              <border>
                <left style="thin">
                  <color theme="0"/>
                </left>
                <right style="thin">
                  <color theme="0"/>
                </right>
                <top style="thin">
                  <color theme="0"/>
                </top>
                <bottom style="thin">
                  <color theme="0"/>
                </bottom>
                <vertical/>
                <horizontal/>
              </border>
            </x14:dxf>
          </x14:cfRule>
          <xm:sqref>U161</xm:sqref>
        </x14:conditionalFormatting>
        <x14:conditionalFormatting xmlns:xm="http://schemas.microsoft.com/office/excel/2006/main">
          <x14:cfRule type="expression" priority="1608" id="{FC4F7586-A157-4352-848C-21918EE781A5}">
            <xm:f>$S$8='Assessment Details'!$Q$23</xm:f>
            <x14:dxf>
              <font>
                <color theme="0"/>
              </font>
              <fill>
                <patternFill>
                  <bgColor theme="0"/>
                </patternFill>
              </fill>
              <border>
                <vertical/>
                <horizontal/>
              </border>
            </x14:dxf>
          </x14:cfRule>
          <xm:sqref>N166</xm:sqref>
        </x14:conditionalFormatting>
        <x14:conditionalFormatting xmlns:xm="http://schemas.microsoft.com/office/excel/2006/main">
          <x14:cfRule type="expression" priority="1607" id="{BE8FA228-D559-43BF-B3AC-678B93E9A11F}">
            <xm:f>$S$8='Assessment Details'!$Q$23</xm:f>
            <x14:dxf>
              <border>
                <left style="thin">
                  <color theme="0"/>
                </left>
                <right style="thin">
                  <color theme="0"/>
                </right>
                <top style="thin">
                  <color theme="0"/>
                </top>
                <bottom style="thin">
                  <color theme="0"/>
                </bottom>
                <vertical/>
                <horizontal/>
              </border>
            </x14:dxf>
          </x14:cfRule>
          <xm:sqref>N166</xm:sqref>
        </x14:conditionalFormatting>
        <x14:conditionalFormatting xmlns:xm="http://schemas.microsoft.com/office/excel/2006/main">
          <x14:cfRule type="expression" priority="1606" id="{EC14D7BD-E844-4979-B380-D8772CD6DCDB}">
            <xm:f>$Z$8='Assessment Details'!$Q$23</xm:f>
            <x14:dxf>
              <font>
                <color theme="0"/>
              </font>
              <fill>
                <patternFill>
                  <bgColor theme="0"/>
                </patternFill>
              </fill>
            </x14:dxf>
          </x14:cfRule>
          <xm:sqref>X166:Y166</xm:sqref>
        </x14:conditionalFormatting>
        <x14:conditionalFormatting xmlns:xm="http://schemas.microsoft.com/office/excel/2006/main">
          <x14:cfRule type="expression" priority="1605" id="{0235C1C1-06F0-430A-88CE-9E126B07233B}">
            <xm:f>$Z$8='Assessment Details'!$Q$23</xm:f>
            <x14:dxf>
              <border>
                <left style="thin">
                  <color theme="0"/>
                </left>
                <right style="thin">
                  <color theme="0"/>
                </right>
                <top style="thin">
                  <color theme="0"/>
                </top>
                <bottom style="thin">
                  <color theme="0"/>
                </bottom>
                <vertical/>
                <horizontal/>
              </border>
            </x14:dxf>
          </x14:cfRule>
          <xm:sqref>X166:Y166</xm:sqref>
        </x14:conditionalFormatting>
        <x14:conditionalFormatting xmlns:xm="http://schemas.microsoft.com/office/excel/2006/main">
          <x14:cfRule type="expression" priority="1591" id="{69741BF6-D994-441F-9F31-4EBB94ECF11F}">
            <xm:f>$Z$8='Assessment Details'!$Q$23</xm:f>
            <x14:dxf>
              <font>
                <color theme="0"/>
              </font>
              <fill>
                <patternFill>
                  <bgColor theme="0"/>
                </patternFill>
              </fill>
            </x14:dxf>
          </x14:cfRule>
          <xm:sqref>U166</xm:sqref>
        </x14:conditionalFormatting>
        <x14:conditionalFormatting xmlns:xm="http://schemas.microsoft.com/office/excel/2006/main">
          <x14:cfRule type="expression" priority="1590" id="{02E4BBE7-B240-4F9F-BBBB-942D574B4AA0}">
            <xm:f>$Z$8='Assessment Details'!$Q$23</xm:f>
            <x14:dxf>
              <border>
                <left style="thin">
                  <color theme="0"/>
                </left>
                <right style="thin">
                  <color theme="0"/>
                </right>
                <top style="thin">
                  <color theme="0"/>
                </top>
                <bottom style="thin">
                  <color theme="0"/>
                </bottom>
                <vertical/>
                <horizontal/>
              </border>
            </x14:dxf>
          </x14:cfRule>
          <xm:sqref>U166</xm:sqref>
        </x14:conditionalFormatting>
        <x14:conditionalFormatting xmlns:xm="http://schemas.microsoft.com/office/excel/2006/main">
          <x14:cfRule type="expression" priority="1579" id="{EDF6CD3E-34CB-41A5-AB94-6E33CD81E4C7}">
            <xm:f>$S$8='Assessment Details'!$Q$23</xm:f>
            <x14:dxf>
              <font>
                <color theme="0"/>
              </font>
              <fill>
                <patternFill>
                  <bgColor theme="0"/>
                </patternFill>
              </fill>
              <border>
                <vertical/>
                <horizontal/>
              </border>
            </x14:dxf>
          </x14:cfRule>
          <xm:sqref>N170:N171</xm:sqref>
        </x14:conditionalFormatting>
        <x14:conditionalFormatting xmlns:xm="http://schemas.microsoft.com/office/excel/2006/main">
          <x14:cfRule type="expression" priority="1578" id="{4165ED7D-D562-4D22-A6D6-5BBBB0C0E736}">
            <xm:f>$S$8='Assessment Details'!$Q$23</xm:f>
            <x14:dxf>
              <border>
                <left style="thin">
                  <color theme="0"/>
                </left>
                <right style="thin">
                  <color theme="0"/>
                </right>
                <top style="thin">
                  <color theme="0"/>
                </top>
                <bottom style="thin">
                  <color theme="0"/>
                </bottom>
                <vertical/>
                <horizontal/>
              </border>
            </x14:dxf>
          </x14:cfRule>
          <xm:sqref>N170:N171</xm:sqref>
        </x14:conditionalFormatting>
        <x14:conditionalFormatting xmlns:xm="http://schemas.microsoft.com/office/excel/2006/main">
          <x14:cfRule type="expression" priority="1577" id="{F83DBC8E-67E7-43CC-80AB-0026E89AC9CE}">
            <xm:f>$Z$8='Assessment Details'!$Q$23</xm:f>
            <x14:dxf>
              <font>
                <color theme="0"/>
              </font>
              <fill>
                <patternFill>
                  <bgColor theme="0"/>
                </patternFill>
              </fill>
            </x14:dxf>
          </x14:cfRule>
          <xm:sqref>X169:Y171</xm:sqref>
        </x14:conditionalFormatting>
        <x14:conditionalFormatting xmlns:xm="http://schemas.microsoft.com/office/excel/2006/main">
          <x14:cfRule type="expression" priority="1576" id="{C8492064-65F4-49FD-9B25-FC1139F0E4C2}">
            <xm:f>$Z$8='Assessment Details'!$Q$23</xm:f>
            <x14:dxf>
              <border>
                <left style="thin">
                  <color theme="0"/>
                </left>
                <right style="thin">
                  <color theme="0"/>
                </right>
                <top style="thin">
                  <color theme="0"/>
                </top>
                <bottom style="thin">
                  <color theme="0"/>
                </bottom>
                <vertical/>
                <horizontal/>
              </border>
            </x14:dxf>
          </x14:cfRule>
          <xm:sqref>X169:Y171</xm:sqref>
        </x14:conditionalFormatting>
        <x14:conditionalFormatting xmlns:xm="http://schemas.microsoft.com/office/excel/2006/main">
          <x14:cfRule type="expression" priority="1562" id="{025FCD9C-6EC2-4741-BAEA-95D9F8820B1F}">
            <xm:f>$Z$8='Assessment Details'!$Q$23</xm:f>
            <x14:dxf>
              <font>
                <color theme="0"/>
              </font>
              <fill>
                <patternFill>
                  <bgColor theme="0"/>
                </patternFill>
              </fill>
            </x14:dxf>
          </x14:cfRule>
          <xm:sqref>U170:U171</xm:sqref>
        </x14:conditionalFormatting>
        <x14:conditionalFormatting xmlns:xm="http://schemas.microsoft.com/office/excel/2006/main">
          <x14:cfRule type="expression" priority="1561" id="{02EDE805-E77B-4339-9098-9C92ADDA184E}">
            <xm:f>$Z$8='Assessment Details'!$Q$23</xm:f>
            <x14:dxf>
              <border>
                <left style="thin">
                  <color theme="0"/>
                </left>
                <right style="thin">
                  <color theme="0"/>
                </right>
                <top style="thin">
                  <color theme="0"/>
                </top>
                <bottom style="thin">
                  <color theme="0"/>
                </bottom>
                <vertical/>
                <horizontal/>
              </border>
            </x14:dxf>
          </x14:cfRule>
          <xm:sqref>U170:U171</xm:sqref>
        </x14:conditionalFormatting>
        <x14:conditionalFormatting xmlns:xm="http://schemas.microsoft.com/office/excel/2006/main">
          <x14:cfRule type="expression" priority="1550" id="{3D1E988D-03DD-499C-BF68-CF1240BEC228}">
            <xm:f>$S$8='Assessment Details'!$Q$23</xm:f>
            <x14:dxf>
              <font>
                <color theme="0"/>
              </font>
              <fill>
                <patternFill>
                  <bgColor theme="0"/>
                </patternFill>
              </fill>
              <border>
                <vertical/>
                <horizontal/>
              </border>
            </x14:dxf>
          </x14:cfRule>
          <xm:sqref>N174:N175</xm:sqref>
        </x14:conditionalFormatting>
        <x14:conditionalFormatting xmlns:xm="http://schemas.microsoft.com/office/excel/2006/main">
          <x14:cfRule type="expression" priority="1549" id="{FEA7069D-5280-4A3C-A382-371BE113ED55}">
            <xm:f>$S$8='Assessment Details'!$Q$23</xm:f>
            <x14:dxf>
              <border>
                <left style="thin">
                  <color theme="0"/>
                </left>
                <right style="thin">
                  <color theme="0"/>
                </right>
                <top style="thin">
                  <color theme="0"/>
                </top>
                <bottom style="thin">
                  <color theme="0"/>
                </bottom>
                <vertical/>
                <horizontal/>
              </border>
            </x14:dxf>
          </x14:cfRule>
          <xm:sqref>N174:N175</xm:sqref>
        </x14:conditionalFormatting>
        <x14:conditionalFormatting xmlns:xm="http://schemas.microsoft.com/office/excel/2006/main">
          <x14:cfRule type="expression" priority="1533" id="{84F84A84-D28C-4541-BF15-E652C7765B65}">
            <xm:f>$Z$8='Assessment Details'!$Q$23</xm:f>
            <x14:dxf>
              <font>
                <color theme="0"/>
              </font>
              <fill>
                <patternFill>
                  <bgColor theme="0"/>
                </patternFill>
              </fill>
            </x14:dxf>
          </x14:cfRule>
          <xm:sqref>U174:U175</xm:sqref>
        </x14:conditionalFormatting>
        <x14:conditionalFormatting xmlns:xm="http://schemas.microsoft.com/office/excel/2006/main">
          <x14:cfRule type="expression" priority="1532" id="{7B46AC8A-3833-42E8-83A3-338992A82C94}">
            <xm:f>$Z$8='Assessment Details'!$Q$23</xm:f>
            <x14:dxf>
              <border>
                <left style="thin">
                  <color theme="0"/>
                </left>
                <right style="thin">
                  <color theme="0"/>
                </right>
                <top style="thin">
                  <color theme="0"/>
                </top>
                <bottom style="thin">
                  <color theme="0"/>
                </bottom>
                <vertical/>
                <horizontal/>
              </border>
            </x14:dxf>
          </x14:cfRule>
          <xm:sqref>U174:U175</xm:sqref>
        </x14:conditionalFormatting>
        <x14:conditionalFormatting xmlns:xm="http://schemas.microsoft.com/office/excel/2006/main">
          <x14:cfRule type="expression" priority="1521" id="{BCBDE68D-5C79-4E40-A8E9-299017800141}">
            <xm:f>$S$8='Assessment Details'!$Q$23</xm:f>
            <x14:dxf>
              <font>
                <color theme="0"/>
              </font>
              <fill>
                <patternFill>
                  <bgColor theme="0"/>
                </patternFill>
              </fill>
              <border>
                <vertical/>
                <horizontal/>
              </border>
            </x14:dxf>
          </x14:cfRule>
          <xm:sqref>N178:N179</xm:sqref>
        </x14:conditionalFormatting>
        <x14:conditionalFormatting xmlns:xm="http://schemas.microsoft.com/office/excel/2006/main">
          <x14:cfRule type="expression" priority="1520" id="{F639A87B-C88A-4C53-9078-FA0725954127}">
            <xm:f>$S$8='Assessment Details'!$Q$23</xm:f>
            <x14:dxf>
              <border>
                <left style="thin">
                  <color theme="0"/>
                </left>
                <right style="thin">
                  <color theme="0"/>
                </right>
                <top style="thin">
                  <color theme="0"/>
                </top>
                <bottom style="thin">
                  <color theme="0"/>
                </bottom>
                <vertical/>
                <horizontal/>
              </border>
            </x14:dxf>
          </x14:cfRule>
          <xm:sqref>N178:N179</xm:sqref>
        </x14:conditionalFormatting>
        <x14:conditionalFormatting xmlns:xm="http://schemas.microsoft.com/office/excel/2006/main">
          <x14:cfRule type="expression" priority="1519" id="{A521E0BB-96A0-44B1-9940-4AFB6590279F}">
            <xm:f>$Z$8='Assessment Details'!$Q$23</xm:f>
            <x14:dxf>
              <font>
                <color theme="0"/>
              </font>
              <fill>
                <patternFill>
                  <bgColor theme="0"/>
                </patternFill>
              </fill>
            </x14:dxf>
          </x14:cfRule>
          <xm:sqref>X177:Y179</xm:sqref>
        </x14:conditionalFormatting>
        <x14:conditionalFormatting xmlns:xm="http://schemas.microsoft.com/office/excel/2006/main">
          <x14:cfRule type="expression" priority="1518" id="{B4363687-7932-4F7E-886B-EF390D51CCD1}">
            <xm:f>$Z$8='Assessment Details'!$Q$23</xm:f>
            <x14:dxf>
              <border>
                <left style="thin">
                  <color theme="0"/>
                </left>
                <right style="thin">
                  <color theme="0"/>
                </right>
                <top style="thin">
                  <color theme="0"/>
                </top>
                <bottom style="thin">
                  <color theme="0"/>
                </bottom>
                <vertical/>
                <horizontal/>
              </border>
            </x14:dxf>
          </x14:cfRule>
          <xm:sqref>X177:Y179</xm:sqref>
        </x14:conditionalFormatting>
        <x14:conditionalFormatting xmlns:xm="http://schemas.microsoft.com/office/excel/2006/main">
          <x14:cfRule type="expression" priority="1504" id="{8A2EF026-7281-4B89-ACE1-B4C4019A2A77}">
            <xm:f>$Z$8='Assessment Details'!$Q$23</xm:f>
            <x14:dxf>
              <font>
                <color theme="0"/>
              </font>
              <fill>
                <patternFill>
                  <bgColor theme="0"/>
                </patternFill>
              </fill>
            </x14:dxf>
          </x14:cfRule>
          <xm:sqref>U178:U179</xm:sqref>
        </x14:conditionalFormatting>
        <x14:conditionalFormatting xmlns:xm="http://schemas.microsoft.com/office/excel/2006/main">
          <x14:cfRule type="expression" priority="1503" id="{A8B954CC-158D-484A-816B-BD9CF8639B81}">
            <xm:f>$Z$8='Assessment Details'!$Q$23</xm:f>
            <x14:dxf>
              <border>
                <left style="thin">
                  <color theme="0"/>
                </left>
                <right style="thin">
                  <color theme="0"/>
                </right>
                <top style="thin">
                  <color theme="0"/>
                </top>
                <bottom style="thin">
                  <color theme="0"/>
                </bottom>
                <vertical/>
                <horizontal/>
              </border>
            </x14:dxf>
          </x14:cfRule>
          <xm:sqref>U178:U179</xm:sqref>
        </x14:conditionalFormatting>
        <x14:conditionalFormatting xmlns:xm="http://schemas.microsoft.com/office/excel/2006/main">
          <x14:cfRule type="expression" priority="1492" id="{0841C3A7-48E6-4EF1-8BD3-2A7D424CCA2D}">
            <xm:f>$S$8='Assessment Details'!$Q$23</xm:f>
            <x14:dxf>
              <font>
                <color theme="0"/>
              </font>
              <fill>
                <patternFill>
                  <bgColor theme="0"/>
                </patternFill>
              </fill>
              <border>
                <vertical/>
                <horizontal/>
              </border>
            </x14:dxf>
          </x14:cfRule>
          <xm:sqref>N182:N183</xm:sqref>
        </x14:conditionalFormatting>
        <x14:conditionalFormatting xmlns:xm="http://schemas.microsoft.com/office/excel/2006/main">
          <x14:cfRule type="expression" priority="1491" id="{47373EDA-C443-45B9-8151-C85D11428738}">
            <xm:f>$S$8='Assessment Details'!$Q$23</xm:f>
            <x14:dxf>
              <border>
                <left style="thin">
                  <color theme="0"/>
                </left>
                <right style="thin">
                  <color theme="0"/>
                </right>
                <top style="thin">
                  <color theme="0"/>
                </top>
                <bottom style="thin">
                  <color theme="0"/>
                </bottom>
                <vertical/>
                <horizontal/>
              </border>
            </x14:dxf>
          </x14:cfRule>
          <xm:sqref>N182:N183</xm:sqref>
        </x14:conditionalFormatting>
        <x14:conditionalFormatting xmlns:xm="http://schemas.microsoft.com/office/excel/2006/main">
          <x14:cfRule type="expression" priority="1490" id="{89B486E7-ED01-4277-90ED-A95F4EC43ABD}">
            <xm:f>$Z$8='Assessment Details'!$Q$23</xm:f>
            <x14:dxf>
              <font>
                <color theme="0"/>
              </font>
              <fill>
                <patternFill>
                  <bgColor theme="0"/>
                </patternFill>
              </fill>
            </x14:dxf>
          </x14:cfRule>
          <xm:sqref>X181:Y183</xm:sqref>
        </x14:conditionalFormatting>
        <x14:conditionalFormatting xmlns:xm="http://schemas.microsoft.com/office/excel/2006/main">
          <x14:cfRule type="expression" priority="1489" id="{36E04BD1-C39C-4724-8F27-3B7345215037}">
            <xm:f>$Z$8='Assessment Details'!$Q$23</xm:f>
            <x14:dxf>
              <border>
                <left style="thin">
                  <color theme="0"/>
                </left>
                <right style="thin">
                  <color theme="0"/>
                </right>
                <top style="thin">
                  <color theme="0"/>
                </top>
                <bottom style="thin">
                  <color theme="0"/>
                </bottom>
                <vertical/>
                <horizontal/>
              </border>
            </x14:dxf>
          </x14:cfRule>
          <xm:sqref>X181:Y183</xm:sqref>
        </x14:conditionalFormatting>
        <x14:conditionalFormatting xmlns:xm="http://schemas.microsoft.com/office/excel/2006/main">
          <x14:cfRule type="expression" priority="1475" id="{F70FDA20-731E-4AF8-AFE8-7C3957D6DB58}">
            <xm:f>$Z$8='Assessment Details'!$Q$23</xm:f>
            <x14:dxf>
              <font>
                <color theme="0"/>
              </font>
              <fill>
                <patternFill>
                  <bgColor theme="0"/>
                </patternFill>
              </fill>
            </x14:dxf>
          </x14:cfRule>
          <xm:sqref>U182:U183</xm:sqref>
        </x14:conditionalFormatting>
        <x14:conditionalFormatting xmlns:xm="http://schemas.microsoft.com/office/excel/2006/main">
          <x14:cfRule type="expression" priority="1474" id="{90EF81F3-F7FF-48CC-BDA8-A145075B8D70}">
            <xm:f>$Z$8='Assessment Details'!$Q$23</xm:f>
            <x14:dxf>
              <border>
                <left style="thin">
                  <color theme="0"/>
                </left>
                <right style="thin">
                  <color theme="0"/>
                </right>
                <top style="thin">
                  <color theme="0"/>
                </top>
                <bottom style="thin">
                  <color theme="0"/>
                </bottom>
                <vertical/>
                <horizontal/>
              </border>
            </x14:dxf>
          </x14:cfRule>
          <xm:sqref>U182:U183</xm:sqref>
        </x14:conditionalFormatting>
        <x14:conditionalFormatting xmlns:xm="http://schemas.microsoft.com/office/excel/2006/main">
          <x14:cfRule type="expression" priority="1463" id="{E871B02C-4848-4F5F-92CF-340A21D6C286}">
            <xm:f>$S$8='Assessment Details'!$Q$23</xm:f>
            <x14:dxf>
              <font>
                <color theme="0"/>
              </font>
              <fill>
                <patternFill>
                  <bgColor theme="0"/>
                </patternFill>
              </fill>
              <border>
                <vertical/>
                <horizontal/>
              </border>
            </x14:dxf>
          </x14:cfRule>
          <xm:sqref>N185</xm:sqref>
        </x14:conditionalFormatting>
        <x14:conditionalFormatting xmlns:xm="http://schemas.microsoft.com/office/excel/2006/main">
          <x14:cfRule type="expression" priority="1462" id="{5B227801-2A9F-4CD2-92E4-A213D0C938B8}">
            <xm:f>$S$8='Assessment Details'!$Q$23</xm:f>
            <x14:dxf>
              <border>
                <left style="thin">
                  <color theme="0"/>
                </left>
                <right style="thin">
                  <color theme="0"/>
                </right>
                <top style="thin">
                  <color theme="0"/>
                </top>
                <bottom style="thin">
                  <color theme="0"/>
                </bottom>
                <vertical/>
                <horizontal/>
              </border>
            </x14:dxf>
          </x14:cfRule>
          <xm:sqref>N185</xm:sqref>
        </x14:conditionalFormatting>
        <x14:conditionalFormatting xmlns:xm="http://schemas.microsoft.com/office/excel/2006/main">
          <x14:cfRule type="expression" priority="1461" id="{E25EE285-D422-4F6A-B1DC-FD770294A9B3}">
            <xm:f>$Z$8='Assessment Details'!$Q$23</xm:f>
            <x14:dxf>
              <font>
                <color theme="0"/>
              </font>
              <fill>
                <patternFill>
                  <bgColor theme="0"/>
                </patternFill>
              </fill>
            </x14:dxf>
          </x14:cfRule>
          <xm:sqref>X185:Y185</xm:sqref>
        </x14:conditionalFormatting>
        <x14:conditionalFormatting xmlns:xm="http://schemas.microsoft.com/office/excel/2006/main">
          <x14:cfRule type="expression" priority="1460" id="{F016B8F4-5F99-46F2-82A2-602D0188A024}">
            <xm:f>$Z$8='Assessment Details'!$Q$23</xm:f>
            <x14:dxf>
              <border>
                <left style="thin">
                  <color theme="0"/>
                </left>
                <right style="thin">
                  <color theme="0"/>
                </right>
                <top style="thin">
                  <color theme="0"/>
                </top>
                <bottom style="thin">
                  <color theme="0"/>
                </bottom>
                <vertical/>
                <horizontal/>
              </border>
            </x14:dxf>
          </x14:cfRule>
          <xm:sqref>X185:Y185</xm:sqref>
        </x14:conditionalFormatting>
        <x14:conditionalFormatting xmlns:xm="http://schemas.microsoft.com/office/excel/2006/main">
          <x14:cfRule type="expression" priority="1446" id="{EC96F803-68EB-422C-85D3-F19E95C35C07}">
            <xm:f>$Z$8='Assessment Details'!$Q$23</xm:f>
            <x14:dxf>
              <font>
                <color theme="0"/>
              </font>
              <fill>
                <patternFill>
                  <bgColor theme="0"/>
                </patternFill>
              </fill>
            </x14:dxf>
          </x14:cfRule>
          <xm:sqref>U185</xm:sqref>
        </x14:conditionalFormatting>
        <x14:conditionalFormatting xmlns:xm="http://schemas.microsoft.com/office/excel/2006/main">
          <x14:cfRule type="expression" priority="1445" id="{5CFF3259-D6B5-403F-B1C7-61A200BA1D99}">
            <xm:f>$Z$8='Assessment Details'!$Q$23</xm:f>
            <x14:dxf>
              <border>
                <left style="thin">
                  <color theme="0"/>
                </left>
                <right style="thin">
                  <color theme="0"/>
                </right>
                <top style="thin">
                  <color theme="0"/>
                </top>
                <bottom style="thin">
                  <color theme="0"/>
                </bottom>
                <vertical/>
                <horizontal/>
              </border>
            </x14:dxf>
          </x14:cfRule>
          <xm:sqref>U185</xm:sqref>
        </x14:conditionalFormatting>
        <x14:conditionalFormatting xmlns:xm="http://schemas.microsoft.com/office/excel/2006/main">
          <x14:cfRule type="expression" priority="1434" id="{ADD3DFAA-D862-422F-9749-96EA4A90B76A}">
            <xm:f>$S$8='Assessment Details'!$Q$23</xm:f>
            <x14:dxf>
              <font>
                <color theme="0"/>
              </font>
              <fill>
                <patternFill>
                  <bgColor theme="0"/>
                </patternFill>
              </fill>
              <border>
                <vertical/>
                <horizontal/>
              </border>
            </x14:dxf>
          </x14:cfRule>
          <xm:sqref>N188</xm:sqref>
        </x14:conditionalFormatting>
        <x14:conditionalFormatting xmlns:xm="http://schemas.microsoft.com/office/excel/2006/main">
          <x14:cfRule type="expression" priority="1433" id="{B6AEE161-B105-452E-96A6-8641765D499B}">
            <xm:f>$S$8='Assessment Details'!$Q$23</xm:f>
            <x14:dxf>
              <border>
                <left style="thin">
                  <color theme="0"/>
                </left>
                <right style="thin">
                  <color theme="0"/>
                </right>
                <top style="thin">
                  <color theme="0"/>
                </top>
                <bottom style="thin">
                  <color theme="0"/>
                </bottom>
                <vertical/>
                <horizontal/>
              </border>
            </x14:dxf>
          </x14:cfRule>
          <xm:sqref>N188</xm:sqref>
        </x14:conditionalFormatting>
        <x14:conditionalFormatting xmlns:xm="http://schemas.microsoft.com/office/excel/2006/main">
          <x14:cfRule type="expression" priority="1432" id="{9AF9090A-A1EA-44E8-819A-714C5BE9399D}">
            <xm:f>$Z$8='Assessment Details'!$Q$23</xm:f>
            <x14:dxf>
              <font>
                <color theme="0"/>
              </font>
              <fill>
                <patternFill>
                  <bgColor theme="0"/>
                </patternFill>
              </fill>
            </x14:dxf>
          </x14:cfRule>
          <xm:sqref>X187:Y188</xm:sqref>
        </x14:conditionalFormatting>
        <x14:conditionalFormatting xmlns:xm="http://schemas.microsoft.com/office/excel/2006/main">
          <x14:cfRule type="expression" priority="1431" id="{4B4AE711-7F1F-459C-9292-6A6A78C33432}">
            <xm:f>$Z$8='Assessment Details'!$Q$23</xm:f>
            <x14:dxf>
              <border>
                <left style="thin">
                  <color theme="0"/>
                </left>
                <right style="thin">
                  <color theme="0"/>
                </right>
                <top style="thin">
                  <color theme="0"/>
                </top>
                <bottom style="thin">
                  <color theme="0"/>
                </bottom>
                <vertical/>
                <horizontal/>
              </border>
            </x14:dxf>
          </x14:cfRule>
          <xm:sqref>X187:Y188</xm:sqref>
        </x14:conditionalFormatting>
        <x14:conditionalFormatting xmlns:xm="http://schemas.microsoft.com/office/excel/2006/main">
          <x14:cfRule type="expression" priority="1417" id="{70F5CD5D-7755-4A45-89FE-FC8A883E6DC2}">
            <xm:f>$Z$8='Assessment Details'!$Q$23</xm:f>
            <x14:dxf>
              <font>
                <color theme="0"/>
              </font>
              <fill>
                <patternFill>
                  <bgColor theme="0"/>
                </patternFill>
              </fill>
            </x14:dxf>
          </x14:cfRule>
          <xm:sqref>U188</xm:sqref>
        </x14:conditionalFormatting>
        <x14:conditionalFormatting xmlns:xm="http://schemas.microsoft.com/office/excel/2006/main">
          <x14:cfRule type="expression" priority="1416" id="{51F44447-A560-4C68-AFA9-48659A9FC49A}">
            <xm:f>$Z$8='Assessment Details'!$Q$23</xm:f>
            <x14:dxf>
              <border>
                <left style="thin">
                  <color theme="0"/>
                </left>
                <right style="thin">
                  <color theme="0"/>
                </right>
                <top style="thin">
                  <color theme="0"/>
                </top>
                <bottom style="thin">
                  <color theme="0"/>
                </bottom>
                <vertical/>
                <horizontal/>
              </border>
            </x14:dxf>
          </x14:cfRule>
          <xm:sqref>U188</xm:sqref>
        </x14:conditionalFormatting>
        <x14:conditionalFormatting xmlns:xm="http://schemas.microsoft.com/office/excel/2006/main">
          <x14:cfRule type="expression" priority="1405" id="{3AFD6779-953D-424A-9968-4E7E05952675}">
            <xm:f>$S$8='Assessment Details'!$Q$23</xm:f>
            <x14:dxf>
              <font>
                <color theme="0"/>
              </font>
              <fill>
                <patternFill>
                  <bgColor theme="0"/>
                </patternFill>
              </fill>
              <border>
                <vertical/>
                <horizontal/>
              </border>
            </x14:dxf>
          </x14:cfRule>
          <xm:sqref>N191:N193</xm:sqref>
        </x14:conditionalFormatting>
        <x14:conditionalFormatting xmlns:xm="http://schemas.microsoft.com/office/excel/2006/main">
          <x14:cfRule type="expression" priority="1404" id="{0FB74762-1D3E-4B2F-BA18-E2EDB089150D}">
            <xm:f>$S$8='Assessment Details'!$Q$23</xm:f>
            <x14:dxf>
              <border>
                <left style="thin">
                  <color theme="0"/>
                </left>
                <right style="thin">
                  <color theme="0"/>
                </right>
                <top style="thin">
                  <color theme="0"/>
                </top>
                <bottom style="thin">
                  <color theme="0"/>
                </bottom>
                <vertical/>
                <horizontal/>
              </border>
            </x14:dxf>
          </x14:cfRule>
          <xm:sqref>N191:N193</xm:sqref>
        </x14:conditionalFormatting>
        <x14:conditionalFormatting xmlns:xm="http://schemas.microsoft.com/office/excel/2006/main">
          <x14:cfRule type="expression" priority="1403" id="{12FE712B-FA74-4B7D-9AE3-59C41D8B7D36}">
            <xm:f>$Z$8='Assessment Details'!$Q$23</xm:f>
            <x14:dxf>
              <font>
                <color theme="0"/>
              </font>
              <fill>
                <patternFill>
                  <bgColor theme="0"/>
                </patternFill>
              </fill>
            </x14:dxf>
          </x14:cfRule>
          <xm:sqref>X190:Y193</xm:sqref>
        </x14:conditionalFormatting>
        <x14:conditionalFormatting xmlns:xm="http://schemas.microsoft.com/office/excel/2006/main">
          <x14:cfRule type="expression" priority="1402" id="{E8B9DDCA-44DF-4858-BD32-C2B56BD428AC}">
            <xm:f>$Z$8='Assessment Details'!$Q$23</xm:f>
            <x14:dxf>
              <border>
                <left style="thin">
                  <color theme="0"/>
                </left>
                <right style="thin">
                  <color theme="0"/>
                </right>
                <top style="thin">
                  <color theme="0"/>
                </top>
                <bottom style="thin">
                  <color theme="0"/>
                </bottom>
                <vertical/>
                <horizontal/>
              </border>
            </x14:dxf>
          </x14:cfRule>
          <xm:sqref>X190:Y193</xm:sqref>
        </x14:conditionalFormatting>
        <x14:conditionalFormatting xmlns:xm="http://schemas.microsoft.com/office/excel/2006/main">
          <x14:cfRule type="expression" priority="1388" id="{9252695C-FA9D-4E90-99FE-9DC43D65F3D3}">
            <xm:f>$Z$8='Assessment Details'!$Q$23</xm:f>
            <x14:dxf>
              <font>
                <color theme="0"/>
              </font>
              <fill>
                <patternFill>
                  <bgColor theme="0"/>
                </patternFill>
              </fill>
            </x14:dxf>
          </x14:cfRule>
          <xm:sqref>U191:U193</xm:sqref>
        </x14:conditionalFormatting>
        <x14:conditionalFormatting xmlns:xm="http://schemas.microsoft.com/office/excel/2006/main">
          <x14:cfRule type="expression" priority="1387" id="{9CAC2D9D-4057-4AD9-A2F4-198BB19A971B}">
            <xm:f>$Z$8='Assessment Details'!$Q$23</xm:f>
            <x14:dxf>
              <border>
                <left style="thin">
                  <color theme="0"/>
                </left>
                <right style="thin">
                  <color theme="0"/>
                </right>
                <top style="thin">
                  <color theme="0"/>
                </top>
                <bottom style="thin">
                  <color theme="0"/>
                </bottom>
                <vertical/>
                <horizontal/>
              </border>
            </x14:dxf>
          </x14:cfRule>
          <xm:sqref>U191:U193</xm:sqref>
        </x14:conditionalFormatting>
        <x14:conditionalFormatting xmlns:xm="http://schemas.microsoft.com/office/excel/2006/main">
          <x14:cfRule type="expression" priority="1376" id="{B208A544-0E3C-4663-BA8B-0FD277FB4633}">
            <xm:f>$S$8='Assessment Details'!$Q$23</xm:f>
            <x14:dxf>
              <font>
                <color theme="0"/>
              </font>
              <fill>
                <patternFill>
                  <bgColor theme="0"/>
                </patternFill>
              </fill>
              <border>
                <vertical/>
                <horizontal/>
              </border>
            </x14:dxf>
          </x14:cfRule>
          <xm:sqref>N198</xm:sqref>
        </x14:conditionalFormatting>
        <x14:conditionalFormatting xmlns:xm="http://schemas.microsoft.com/office/excel/2006/main">
          <x14:cfRule type="expression" priority="1375" id="{54770062-B715-4AE7-AD74-84D67EC38AF3}">
            <xm:f>$S$8='Assessment Details'!$Q$23</xm:f>
            <x14:dxf>
              <border>
                <left style="thin">
                  <color theme="0"/>
                </left>
                <right style="thin">
                  <color theme="0"/>
                </right>
                <top style="thin">
                  <color theme="0"/>
                </top>
                <bottom style="thin">
                  <color theme="0"/>
                </bottom>
                <vertical/>
                <horizontal/>
              </border>
            </x14:dxf>
          </x14:cfRule>
          <xm:sqref>N198</xm:sqref>
        </x14:conditionalFormatting>
        <x14:conditionalFormatting xmlns:xm="http://schemas.microsoft.com/office/excel/2006/main">
          <x14:cfRule type="expression" priority="1374" id="{0ECEAA33-0EF7-4CA2-98BD-FC7068A6CCC7}">
            <xm:f>$Z$8='Assessment Details'!$Q$23</xm:f>
            <x14:dxf>
              <font>
                <color theme="0"/>
              </font>
              <fill>
                <patternFill>
                  <bgColor theme="0"/>
                </patternFill>
              </fill>
            </x14:dxf>
          </x14:cfRule>
          <xm:sqref>X198:Y198</xm:sqref>
        </x14:conditionalFormatting>
        <x14:conditionalFormatting xmlns:xm="http://schemas.microsoft.com/office/excel/2006/main">
          <x14:cfRule type="expression" priority="1373" id="{6348EF24-9E8A-43B3-83B4-BF7DAEF8577C}">
            <xm:f>$Z$8='Assessment Details'!$Q$23</xm:f>
            <x14:dxf>
              <border>
                <left style="thin">
                  <color theme="0"/>
                </left>
                <right style="thin">
                  <color theme="0"/>
                </right>
                <top style="thin">
                  <color theme="0"/>
                </top>
                <bottom style="thin">
                  <color theme="0"/>
                </bottom>
                <vertical/>
                <horizontal/>
              </border>
            </x14:dxf>
          </x14:cfRule>
          <xm:sqref>X198:Y198</xm:sqref>
        </x14:conditionalFormatting>
        <x14:conditionalFormatting xmlns:xm="http://schemas.microsoft.com/office/excel/2006/main">
          <x14:cfRule type="expression" priority="1359" id="{84D6D612-6AF0-4402-BF39-DFE97A33E5E8}">
            <xm:f>$Z$8='Assessment Details'!$Q$23</xm:f>
            <x14:dxf>
              <font>
                <color theme="0"/>
              </font>
              <fill>
                <patternFill>
                  <bgColor theme="0"/>
                </patternFill>
              </fill>
            </x14:dxf>
          </x14:cfRule>
          <xm:sqref>U198</xm:sqref>
        </x14:conditionalFormatting>
        <x14:conditionalFormatting xmlns:xm="http://schemas.microsoft.com/office/excel/2006/main">
          <x14:cfRule type="expression" priority="1358" id="{6AF589B5-841E-4955-967B-DDB6455B0222}">
            <xm:f>$Z$8='Assessment Details'!$Q$23</xm:f>
            <x14:dxf>
              <border>
                <left style="thin">
                  <color theme="0"/>
                </left>
                <right style="thin">
                  <color theme="0"/>
                </right>
                <top style="thin">
                  <color theme="0"/>
                </top>
                <bottom style="thin">
                  <color theme="0"/>
                </bottom>
                <vertical/>
                <horizontal/>
              </border>
            </x14:dxf>
          </x14:cfRule>
          <xm:sqref>U198</xm:sqref>
        </x14:conditionalFormatting>
        <x14:conditionalFormatting xmlns:xm="http://schemas.microsoft.com/office/excel/2006/main">
          <x14:cfRule type="expression" priority="1347" id="{680C9B30-37B3-4797-A8FC-161D3F09DDD1}">
            <xm:f>$S$8='Assessment Details'!$Q$23</xm:f>
            <x14:dxf>
              <font>
                <color theme="0"/>
              </font>
              <fill>
                <patternFill>
                  <bgColor theme="0"/>
                </patternFill>
              </fill>
              <border>
                <vertical/>
                <horizontal/>
              </border>
            </x14:dxf>
          </x14:cfRule>
          <xm:sqref>N203:N204</xm:sqref>
        </x14:conditionalFormatting>
        <x14:conditionalFormatting xmlns:xm="http://schemas.microsoft.com/office/excel/2006/main">
          <x14:cfRule type="expression" priority="1346" id="{AE7630F1-E9A4-4A8E-8513-61D2B0D218BD}">
            <xm:f>$S$8='Assessment Details'!$Q$23</xm:f>
            <x14:dxf>
              <border>
                <left style="thin">
                  <color theme="0"/>
                </left>
                <right style="thin">
                  <color theme="0"/>
                </right>
                <top style="thin">
                  <color theme="0"/>
                </top>
                <bottom style="thin">
                  <color theme="0"/>
                </bottom>
                <vertical/>
                <horizontal/>
              </border>
            </x14:dxf>
          </x14:cfRule>
          <xm:sqref>N203:N204</xm:sqref>
        </x14:conditionalFormatting>
        <x14:conditionalFormatting xmlns:xm="http://schemas.microsoft.com/office/excel/2006/main">
          <x14:cfRule type="expression" priority="1345" id="{3957C064-5083-431A-AC50-6D6297886495}">
            <xm:f>$Z$8='Assessment Details'!$Q$23</xm:f>
            <x14:dxf>
              <font>
                <color theme="0"/>
              </font>
              <fill>
                <patternFill>
                  <bgColor theme="0"/>
                </patternFill>
              </fill>
            </x14:dxf>
          </x14:cfRule>
          <xm:sqref>X203:Y204</xm:sqref>
        </x14:conditionalFormatting>
        <x14:conditionalFormatting xmlns:xm="http://schemas.microsoft.com/office/excel/2006/main">
          <x14:cfRule type="expression" priority="1344" id="{FE2904CF-7A9A-4A28-8B4E-E103FAFFB6AE}">
            <xm:f>$Z$8='Assessment Details'!$Q$23</xm:f>
            <x14:dxf>
              <border>
                <left style="thin">
                  <color theme="0"/>
                </left>
                <right style="thin">
                  <color theme="0"/>
                </right>
                <top style="thin">
                  <color theme="0"/>
                </top>
                <bottom style="thin">
                  <color theme="0"/>
                </bottom>
                <vertical/>
                <horizontal/>
              </border>
            </x14:dxf>
          </x14:cfRule>
          <xm:sqref>X203:Y204</xm:sqref>
        </x14:conditionalFormatting>
        <x14:conditionalFormatting xmlns:xm="http://schemas.microsoft.com/office/excel/2006/main">
          <x14:cfRule type="expression" priority="1330" id="{99BF82AF-6DDE-4C97-9EDE-55F2D2148B47}">
            <xm:f>$Z$8='Assessment Details'!$Q$23</xm:f>
            <x14:dxf>
              <font>
                <color theme="0"/>
              </font>
              <fill>
                <patternFill>
                  <bgColor theme="0"/>
                </patternFill>
              </fill>
            </x14:dxf>
          </x14:cfRule>
          <xm:sqref>U203:U204</xm:sqref>
        </x14:conditionalFormatting>
        <x14:conditionalFormatting xmlns:xm="http://schemas.microsoft.com/office/excel/2006/main">
          <x14:cfRule type="expression" priority="1329" id="{786C99D9-805D-4EC4-AAA5-946042835C3F}">
            <xm:f>$Z$8='Assessment Details'!$Q$23</xm:f>
            <x14:dxf>
              <border>
                <left style="thin">
                  <color theme="0"/>
                </left>
                <right style="thin">
                  <color theme="0"/>
                </right>
                <top style="thin">
                  <color theme="0"/>
                </top>
                <bottom style="thin">
                  <color theme="0"/>
                </bottom>
                <vertical/>
                <horizontal/>
              </border>
            </x14:dxf>
          </x14:cfRule>
          <xm:sqref>U203:U204</xm:sqref>
        </x14:conditionalFormatting>
        <x14:conditionalFormatting xmlns:xm="http://schemas.microsoft.com/office/excel/2006/main">
          <x14:cfRule type="expression" priority="1318" id="{EA46645F-FDB6-46DD-AF04-1ACC11A62A19}">
            <xm:f>$S$8='Assessment Details'!$Q$23</xm:f>
            <x14:dxf>
              <font>
                <color theme="0"/>
              </font>
              <fill>
                <patternFill>
                  <bgColor theme="0"/>
                </patternFill>
              </fill>
              <border>
                <vertical/>
                <horizontal/>
              </border>
            </x14:dxf>
          </x14:cfRule>
          <xm:sqref>N206:N207</xm:sqref>
        </x14:conditionalFormatting>
        <x14:conditionalFormatting xmlns:xm="http://schemas.microsoft.com/office/excel/2006/main">
          <x14:cfRule type="expression" priority="1317" id="{D8E5C5B9-67F1-4EFA-AAF7-A49BD24BB822}">
            <xm:f>$S$8='Assessment Details'!$Q$23</xm:f>
            <x14:dxf>
              <border>
                <left style="thin">
                  <color theme="0"/>
                </left>
                <right style="thin">
                  <color theme="0"/>
                </right>
                <top style="thin">
                  <color theme="0"/>
                </top>
                <bottom style="thin">
                  <color theme="0"/>
                </bottom>
                <vertical/>
                <horizontal/>
              </border>
            </x14:dxf>
          </x14:cfRule>
          <xm:sqref>N206:N207</xm:sqref>
        </x14:conditionalFormatting>
        <x14:conditionalFormatting xmlns:xm="http://schemas.microsoft.com/office/excel/2006/main">
          <x14:cfRule type="expression" priority="1316" id="{07B8799B-6971-4378-B289-9A4994B8B5F7}">
            <xm:f>$Z$8='Assessment Details'!$Q$23</xm:f>
            <x14:dxf>
              <font>
                <color theme="0"/>
              </font>
              <fill>
                <patternFill>
                  <bgColor theme="0"/>
                </patternFill>
              </fill>
            </x14:dxf>
          </x14:cfRule>
          <xm:sqref>X206:Y207</xm:sqref>
        </x14:conditionalFormatting>
        <x14:conditionalFormatting xmlns:xm="http://schemas.microsoft.com/office/excel/2006/main">
          <x14:cfRule type="expression" priority="1315" id="{F6392F3B-C379-4DBE-BEC1-F94861634129}">
            <xm:f>$Z$8='Assessment Details'!$Q$23</xm:f>
            <x14:dxf>
              <border>
                <left style="thin">
                  <color theme="0"/>
                </left>
                <right style="thin">
                  <color theme="0"/>
                </right>
                <top style="thin">
                  <color theme="0"/>
                </top>
                <bottom style="thin">
                  <color theme="0"/>
                </bottom>
                <vertical/>
                <horizontal/>
              </border>
            </x14:dxf>
          </x14:cfRule>
          <xm:sqref>X206:Y207</xm:sqref>
        </x14:conditionalFormatting>
        <x14:conditionalFormatting xmlns:xm="http://schemas.microsoft.com/office/excel/2006/main">
          <x14:cfRule type="expression" priority="1301" id="{227D99A2-8A89-4449-B850-632A63640735}">
            <xm:f>$Z$8='Assessment Details'!$Q$23</xm:f>
            <x14:dxf>
              <font>
                <color theme="0"/>
              </font>
              <fill>
                <patternFill>
                  <bgColor theme="0"/>
                </patternFill>
              </fill>
            </x14:dxf>
          </x14:cfRule>
          <xm:sqref>U206:U207</xm:sqref>
        </x14:conditionalFormatting>
        <x14:conditionalFormatting xmlns:xm="http://schemas.microsoft.com/office/excel/2006/main">
          <x14:cfRule type="expression" priority="1300" id="{ED8048D2-72D6-46EC-B068-FC4231F93B04}">
            <xm:f>$Z$8='Assessment Details'!$Q$23</xm:f>
            <x14:dxf>
              <border>
                <left style="thin">
                  <color theme="0"/>
                </left>
                <right style="thin">
                  <color theme="0"/>
                </right>
                <top style="thin">
                  <color theme="0"/>
                </top>
                <bottom style="thin">
                  <color theme="0"/>
                </bottom>
                <vertical/>
                <horizontal/>
              </border>
            </x14:dxf>
          </x14:cfRule>
          <xm:sqref>U206:U207</xm:sqref>
        </x14:conditionalFormatting>
        <x14:conditionalFormatting xmlns:xm="http://schemas.microsoft.com/office/excel/2006/main">
          <x14:cfRule type="expression" priority="1289" id="{3B117DA8-9379-4B2E-8949-4302D2DFF4CA}">
            <xm:f>$S$8='Assessment Details'!$Q$23</xm:f>
            <x14:dxf>
              <font>
                <color theme="0"/>
              </font>
              <fill>
                <patternFill>
                  <bgColor theme="0"/>
                </patternFill>
              </fill>
              <border>
                <vertical/>
                <horizontal/>
              </border>
            </x14:dxf>
          </x14:cfRule>
          <xm:sqref>N209:N210</xm:sqref>
        </x14:conditionalFormatting>
        <x14:conditionalFormatting xmlns:xm="http://schemas.microsoft.com/office/excel/2006/main">
          <x14:cfRule type="expression" priority="1288" id="{59458F57-A529-4C23-A8EF-65BECC09D98B}">
            <xm:f>$S$8='Assessment Details'!$Q$23</xm:f>
            <x14:dxf>
              <border>
                <left style="thin">
                  <color theme="0"/>
                </left>
                <right style="thin">
                  <color theme="0"/>
                </right>
                <top style="thin">
                  <color theme="0"/>
                </top>
                <bottom style="thin">
                  <color theme="0"/>
                </bottom>
                <vertical/>
                <horizontal/>
              </border>
            </x14:dxf>
          </x14:cfRule>
          <xm:sqref>N209:N210</xm:sqref>
        </x14:conditionalFormatting>
        <x14:conditionalFormatting xmlns:xm="http://schemas.microsoft.com/office/excel/2006/main">
          <x14:cfRule type="expression" priority="1287" id="{14512774-9395-4789-B891-50B6BA153938}">
            <xm:f>$Z$8='Assessment Details'!$Q$23</xm:f>
            <x14:dxf>
              <font>
                <color theme="0"/>
              </font>
              <fill>
                <patternFill>
                  <bgColor theme="0"/>
                </patternFill>
              </fill>
            </x14:dxf>
          </x14:cfRule>
          <xm:sqref>X209:Y210</xm:sqref>
        </x14:conditionalFormatting>
        <x14:conditionalFormatting xmlns:xm="http://schemas.microsoft.com/office/excel/2006/main">
          <x14:cfRule type="expression" priority="1286" id="{50CB0CD0-203C-47B4-BFB4-C39E6228CBE2}">
            <xm:f>$Z$8='Assessment Details'!$Q$23</xm:f>
            <x14:dxf>
              <border>
                <left style="thin">
                  <color theme="0"/>
                </left>
                <right style="thin">
                  <color theme="0"/>
                </right>
                <top style="thin">
                  <color theme="0"/>
                </top>
                <bottom style="thin">
                  <color theme="0"/>
                </bottom>
                <vertical/>
                <horizontal/>
              </border>
            </x14:dxf>
          </x14:cfRule>
          <xm:sqref>X209:Y210</xm:sqref>
        </x14:conditionalFormatting>
        <x14:conditionalFormatting xmlns:xm="http://schemas.microsoft.com/office/excel/2006/main">
          <x14:cfRule type="expression" priority="1272" id="{6DDE72B5-2604-4E19-B4C4-BDDED8942872}">
            <xm:f>$Z$8='Assessment Details'!$Q$23</xm:f>
            <x14:dxf>
              <font>
                <color theme="0"/>
              </font>
              <fill>
                <patternFill>
                  <bgColor theme="0"/>
                </patternFill>
              </fill>
            </x14:dxf>
          </x14:cfRule>
          <xm:sqref>U209:U210</xm:sqref>
        </x14:conditionalFormatting>
        <x14:conditionalFormatting xmlns:xm="http://schemas.microsoft.com/office/excel/2006/main">
          <x14:cfRule type="expression" priority="1230" id="{13F0E4D5-5D84-457B-833F-A9C88335247C}">
            <xm:f>$S$8='Assessment Details'!$Q$23</xm:f>
            <x14:dxf>
              <font>
                <color theme="0"/>
              </font>
              <fill>
                <patternFill>
                  <bgColor theme="0"/>
                </patternFill>
              </fill>
              <border>
                <vertical/>
                <horizontal/>
              </border>
            </x14:dxf>
          </x14:cfRule>
          <xm:sqref>N227</xm:sqref>
        </x14:conditionalFormatting>
        <x14:conditionalFormatting xmlns:xm="http://schemas.microsoft.com/office/excel/2006/main">
          <x14:cfRule type="expression" priority="1229" id="{2015831A-B28A-425A-ABEB-1D83A788414C}">
            <xm:f>$S$8='Assessment Details'!$Q$23</xm:f>
            <x14:dxf>
              <border>
                <left style="thin">
                  <color theme="0"/>
                </left>
                <right style="thin">
                  <color theme="0"/>
                </right>
                <top style="thin">
                  <color theme="0"/>
                </top>
                <bottom style="thin">
                  <color theme="0"/>
                </bottom>
                <vertical/>
                <horizontal/>
              </border>
            </x14:dxf>
          </x14:cfRule>
          <xm:sqref>N227</xm:sqref>
        </x14:conditionalFormatting>
        <x14:conditionalFormatting xmlns:xm="http://schemas.microsoft.com/office/excel/2006/main">
          <x14:cfRule type="expression" priority="1228" id="{D1978515-543D-41B4-9725-0FF87B793AA6}">
            <xm:f>$Z$8='Assessment Details'!$Q$23</xm:f>
            <x14:dxf>
              <font>
                <color theme="0"/>
              </font>
              <fill>
                <patternFill>
                  <bgColor theme="0"/>
                </patternFill>
              </fill>
            </x14:dxf>
          </x14:cfRule>
          <xm:sqref>U227</xm:sqref>
        </x14:conditionalFormatting>
        <x14:conditionalFormatting xmlns:xm="http://schemas.microsoft.com/office/excel/2006/main">
          <x14:cfRule type="expression" priority="1227" id="{B1BDAA96-7415-4AA8-83B0-83554A871CE4}">
            <xm:f>$Z$8='Assessment Details'!$Q$23</xm:f>
            <x14:dxf>
              <border>
                <left style="thin">
                  <color theme="0"/>
                </left>
                <right style="thin">
                  <color theme="0"/>
                </right>
                <top style="thin">
                  <color theme="0"/>
                </top>
                <bottom style="thin">
                  <color theme="0"/>
                </bottom>
                <vertical/>
                <horizontal/>
              </border>
            </x14:dxf>
          </x14:cfRule>
          <xm:sqref>U227</xm:sqref>
        </x14:conditionalFormatting>
        <x14:conditionalFormatting xmlns:xm="http://schemas.microsoft.com/office/excel/2006/main">
          <x14:cfRule type="expression" priority="1200" id="{E9C8BC85-79C2-48ED-83F9-A828663B02BC}">
            <xm:f>$Z$8='Assessment Details'!$Q$23</xm:f>
            <x14:dxf>
              <font>
                <color theme="0"/>
              </font>
              <fill>
                <patternFill>
                  <bgColor theme="0"/>
                </patternFill>
              </fill>
            </x14:dxf>
          </x14:cfRule>
          <xm:sqref>X199:Y199</xm:sqref>
        </x14:conditionalFormatting>
        <x14:conditionalFormatting xmlns:xm="http://schemas.microsoft.com/office/excel/2006/main">
          <x14:cfRule type="expression" priority="1199" id="{05FF17F0-138A-4115-8735-7DF4487C773A}">
            <xm:f>$Z$8='Assessment Details'!$Q$23</xm:f>
            <x14:dxf>
              <border>
                <left style="thin">
                  <color theme="0"/>
                </left>
                <right style="thin">
                  <color theme="0"/>
                </right>
                <top style="thin">
                  <color theme="0"/>
                </top>
                <bottom style="thin">
                  <color theme="0"/>
                </bottom>
                <vertical/>
                <horizontal/>
              </border>
            </x14:dxf>
          </x14:cfRule>
          <xm:sqref>X199:Y199</xm:sqref>
        </x14:conditionalFormatting>
        <x14:conditionalFormatting xmlns:xm="http://schemas.microsoft.com/office/excel/2006/main">
          <x14:cfRule type="expression" priority="1178" id="{0BBD319E-E165-41D8-A776-0E75303B2C6A}">
            <xm:f>$S$8='Assessment Details'!$Q$23</xm:f>
            <x14:dxf>
              <font>
                <color theme="0"/>
              </font>
              <fill>
                <patternFill>
                  <bgColor theme="0"/>
                </patternFill>
              </fill>
              <border>
                <vertical/>
                <horizontal/>
              </border>
            </x14:dxf>
          </x14:cfRule>
          <xm:sqref>N201</xm:sqref>
        </x14:conditionalFormatting>
        <x14:conditionalFormatting xmlns:xm="http://schemas.microsoft.com/office/excel/2006/main">
          <x14:cfRule type="expression" priority="1177" id="{64A52EC4-7784-42FF-9840-B95E6C5032D4}">
            <xm:f>$S$8='Assessment Details'!$Q$23</xm:f>
            <x14:dxf>
              <border>
                <left style="thin">
                  <color theme="0"/>
                </left>
                <right style="thin">
                  <color theme="0"/>
                </right>
                <top style="thin">
                  <color theme="0"/>
                </top>
                <bottom style="thin">
                  <color theme="0"/>
                </bottom>
                <vertical/>
                <horizontal/>
              </border>
            </x14:dxf>
          </x14:cfRule>
          <xm:sqref>N201</xm:sqref>
        </x14:conditionalFormatting>
        <x14:conditionalFormatting xmlns:xm="http://schemas.microsoft.com/office/excel/2006/main">
          <x14:cfRule type="expression" priority="1176" id="{50EA2D5F-4925-4DE9-8175-24D7B0FAC38D}">
            <xm:f>$Z$8='Assessment Details'!$Q$23</xm:f>
            <x14:dxf>
              <font>
                <color theme="0"/>
              </font>
              <fill>
                <patternFill>
                  <bgColor theme="0"/>
                </patternFill>
              </fill>
            </x14:dxf>
          </x14:cfRule>
          <xm:sqref>X201:Y201</xm:sqref>
        </x14:conditionalFormatting>
        <x14:conditionalFormatting xmlns:xm="http://schemas.microsoft.com/office/excel/2006/main">
          <x14:cfRule type="expression" priority="1175" id="{CDBF1BBA-0622-4E20-A9ED-BB386E735DE0}">
            <xm:f>$Z$8='Assessment Details'!$Q$23</xm:f>
            <x14:dxf>
              <border>
                <left style="thin">
                  <color theme="0"/>
                </left>
                <right style="thin">
                  <color theme="0"/>
                </right>
                <top style="thin">
                  <color theme="0"/>
                </top>
                <bottom style="thin">
                  <color theme="0"/>
                </bottom>
                <vertical/>
                <horizontal/>
              </border>
            </x14:dxf>
          </x14:cfRule>
          <xm:sqref>X201:Y201</xm:sqref>
        </x14:conditionalFormatting>
        <x14:conditionalFormatting xmlns:xm="http://schemas.microsoft.com/office/excel/2006/main">
          <x14:cfRule type="expression" priority="1174" id="{BA600EB2-D894-4A32-9E7F-A23795F6FD85}">
            <xm:f>$Z$8='Assessment Details'!$Q$23</xm:f>
            <x14:dxf>
              <font>
                <color theme="0"/>
              </font>
              <fill>
                <patternFill>
                  <bgColor theme="0"/>
                </patternFill>
              </fill>
            </x14:dxf>
          </x14:cfRule>
          <xm:sqref>U201</xm:sqref>
        </x14:conditionalFormatting>
        <x14:conditionalFormatting xmlns:xm="http://schemas.microsoft.com/office/excel/2006/main">
          <x14:cfRule type="expression" priority="1173" id="{10BA7BE5-3E03-47AB-9674-4127F705184C}">
            <xm:f>$Z$8='Assessment Details'!$Q$23</xm:f>
            <x14:dxf>
              <border>
                <left style="thin">
                  <color theme="0"/>
                </left>
                <right style="thin">
                  <color theme="0"/>
                </right>
                <top style="thin">
                  <color theme="0"/>
                </top>
                <bottom style="thin">
                  <color theme="0"/>
                </bottom>
                <vertical/>
                <horizontal/>
              </border>
            </x14:dxf>
          </x14:cfRule>
          <xm:sqref>U201</xm:sqref>
        </x14:conditionalFormatting>
        <x14:conditionalFormatting xmlns:xm="http://schemas.microsoft.com/office/excel/2006/main">
          <x14:cfRule type="expression" priority="1161" id="{71D00486-2067-46DC-BDC1-5EE4D7A8ED6D}">
            <xm:f>$S$8='Assessment Details'!$Q$23</xm:f>
            <x14:dxf>
              <font>
                <color theme="0"/>
              </font>
              <fill>
                <patternFill>
                  <bgColor theme="0"/>
                </patternFill>
              </fill>
              <border>
                <vertical/>
                <horizontal/>
              </border>
            </x14:dxf>
          </x14:cfRule>
          <xm:sqref>Q64:R64</xm:sqref>
        </x14:conditionalFormatting>
        <x14:conditionalFormatting xmlns:xm="http://schemas.microsoft.com/office/excel/2006/main">
          <x14:cfRule type="expression" priority="1160" id="{28E4A3D0-1638-4345-A978-E56A4FF5AE84}">
            <xm:f>$S$8='Assessment Details'!$Q$23</xm:f>
            <x14:dxf>
              <border>
                <left style="thin">
                  <color theme="0"/>
                </left>
                <right style="thin">
                  <color theme="0"/>
                </right>
                <top style="thin">
                  <color theme="0"/>
                </top>
                <bottom style="thin">
                  <color theme="0"/>
                </bottom>
                <vertical/>
                <horizontal/>
              </border>
            </x14:dxf>
          </x14:cfRule>
          <xm:sqref>Q64:R64</xm:sqref>
        </x14:conditionalFormatting>
        <x14:conditionalFormatting xmlns:xm="http://schemas.microsoft.com/office/excel/2006/main">
          <x14:cfRule type="expression" priority="1159" id="{ABC178BE-55CD-4AD6-9B80-E1ADE74D0F65}">
            <xm:f>$Z$8='Assessment Details'!$Q$23</xm:f>
            <x14:dxf>
              <font>
                <color theme="0"/>
              </font>
              <fill>
                <patternFill>
                  <bgColor theme="0"/>
                </patternFill>
              </fill>
            </x14:dxf>
          </x14:cfRule>
          <xm:sqref>U64</xm:sqref>
        </x14:conditionalFormatting>
        <x14:conditionalFormatting xmlns:xm="http://schemas.microsoft.com/office/excel/2006/main">
          <x14:cfRule type="expression" priority="1158" id="{B34A33E1-F52C-4841-AEB3-E470F60604C5}">
            <xm:f>$Z$8='Assessment Details'!$Q$23</xm:f>
            <x14:dxf>
              <border>
                <left style="thin">
                  <color theme="0"/>
                </left>
                <right style="thin">
                  <color theme="0"/>
                </right>
                <top style="thin">
                  <color theme="0"/>
                </top>
                <bottom style="thin">
                  <color theme="0"/>
                </bottom>
                <vertical/>
                <horizontal/>
              </border>
            </x14:dxf>
          </x14:cfRule>
          <xm:sqref>U64</xm:sqref>
        </x14:conditionalFormatting>
        <x14:conditionalFormatting xmlns:xm="http://schemas.microsoft.com/office/excel/2006/main">
          <x14:cfRule type="expression" priority="1149" id="{2E906952-F76B-4002-AEF2-19C384210E97}">
            <xm:f>$S$8='Assessment Details'!$Q$23</xm:f>
            <x14:dxf>
              <font>
                <color theme="0"/>
              </font>
              <fill>
                <patternFill>
                  <bgColor theme="0"/>
                </patternFill>
              </fill>
              <border>
                <vertical/>
                <horizontal/>
              </border>
            </x14:dxf>
          </x14:cfRule>
          <xm:sqref>Q94:R94</xm:sqref>
        </x14:conditionalFormatting>
        <x14:conditionalFormatting xmlns:xm="http://schemas.microsoft.com/office/excel/2006/main">
          <x14:cfRule type="expression" priority="1148" id="{016CED2A-DEE6-4A52-BCCD-A88530D2F7A7}">
            <xm:f>$S$8='Assessment Details'!$Q$23</xm:f>
            <x14:dxf>
              <border>
                <left style="thin">
                  <color theme="0"/>
                </left>
                <right style="thin">
                  <color theme="0"/>
                </right>
                <top style="thin">
                  <color theme="0"/>
                </top>
                <bottom style="thin">
                  <color theme="0"/>
                </bottom>
                <vertical/>
                <horizontal/>
              </border>
            </x14:dxf>
          </x14:cfRule>
          <xm:sqref>Q94:R94</xm:sqref>
        </x14:conditionalFormatting>
        <x14:conditionalFormatting xmlns:xm="http://schemas.microsoft.com/office/excel/2006/main">
          <x14:cfRule type="expression" priority="1147" id="{AA2B09B7-D032-4EDC-9E2C-B2613AF925BA}">
            <xm:f>$Z$8='Assessment Details'!$Q$23</xm:f>
            <x14:dxf>
              <font>
                <color theme="0"/>
              </font>
              <fill>
                <patternFill>
                  <bgColor theme="0"/>
                </patternFill>
              </fill>
            </x14:dxf>
          </x14:cfRule>
          <xm:sqref>U94</xm:sqref>
        </x14:conditionalFormatting>
        <x14:conditionalFormatting xmlns:xm="http://schemas.microsoft.com/office/excel/2006/main">
          <x14:cfRule type="expression" priority="1146" id="{2E11EAEC-490D-47E0-AC73-6DF2825CAB7B}">
            <xm:f>$Z$8='Assessment Details'!$Q$23</xm:f>
            <x14:dxf>
              <border>
                <left style="thin">
                  <color theme="0"/>
                </left>
                <right style="thin">
                  <color theme="0"/>
                </right>
                <top style="thin">
                  <color theme="0"/>
                </top>
                <bottom style="thin">
                  <color theme="0"/>
                </bottom>
                <vertical/>
                <horizontal/>
              </border>
            </x14:dxf>
          </x14:cfRule>
          <xm:sqref>U94</xm:sqref>
        </x14:conditionalFormatting>
        <x14:conditionalFormatting xmlns:xm="http://schemas.microsoft.com/office/excel/2006/main">
          <x14:cfRule type="expression" priority="1137" id="{EA046676-BAF8-44C4-868F-A279D4782715}">
            <xm:f>$S$8='Assessment Details'!$Q$23</xm:f>
            <x14:dxf>
              <font>
                <color theme="0"/>
              </font>
              <fill>
                <patternFill>
                  <bgColor theme="0"/>
                </patternFill>
              </fill>
              <border>
                <vertical/>
                <horizontal/>
              </border>
            </x14:dxf>
          </x14:cfRule>
          <xm:sqref>Q103:R103</xm:sqref>
        </x14:conditionalFormatting>
        <x14:conditionalFormatting xmlns:xm="http://schemas.microsoft.com/office/excel/2006/main">
          <x14:cfRule type="expression" priority="1136" id="{78F98CD6-B22A-40B7-BA85-927D4EDA73A5}">
            <xm:f>$S$8='Assessment Details'!$Q$23</xm:f>
            <x14:dxf>
              <border>
                <left style="thin">
                  <color theme="0"/>
                </left>
                <right style="thin">
                  <color theme="0"/>
                </right>
                <top style="thin">
                  <color theme="0"/>
                </top>
                <bottom style="thin">
                  <color theme="0"/>
                </bottom>
                <vertical/>
                <horizontal/>
              </border>
            </x14:dxf>
          </x14:cfRule>
          <xm:sqref>Q103:R103</xm:sqref>
        </x14:conditionalFormatting>
        <x14:conditionalFormatting xmlns:xm="http://schemas.microsoft.com/office/excel/2006/main">
          <x14:cfRule type="expression" priority="1135" id="{D00CC6D4-5E6B-4F94-B0D6-BCA5015A55FC}">
            <xm:f>$Z$8='Assessment Details'!$Q$23</xm:f>
            <x14:dxf>
              <font>
                <color theme="0"/>
              </font>
              <fill>
                <patternFill>
                  <bgColor theme="0"/>
                </patternFill>
              </fill>
            </x14:dxf>
          </x14:cfRule>
          <xm:sqref>U103</xm:sqref>
        </x14:conditionalFormatting>
        <x14:conditionalFormatting xmlns:xm="http://schemas.microsoft.com/office/excel/2006/main">
          <x14:cfRule type="expression" priority="1134" id="{DA754FE4-0819-4A01-9771-C8FB065924D0}">
            <xm:f>$Z$8='Assessment Details'!$Q$23</xm:f>
            <x14:dxf>
              <border>
                <left style="thin">
                  <color theme="0"/>
                </left>
                <right style="thin">
                  <color theme="0"/>
                </right>
                <top style="thin">
                  <color theme="0"/>
                </top>
                <bottom style="thin">
                  <color theme="0"/>
                </bottom>
                <vertical/>
                <horizontal/>
              </border>
            </x14:dxf>
          </x14:cfRule>
          <xm:sqref>U103</xm:sqref>
        </x14:conditionalFormatting>
        <x14:conditionalFormatting xmlns:xm="http://schemas.microsoft.com/office/excel/2006/main">
          <x14:cfRule type="expression" priority="1125" id="{72E050F9-DC77-4BE7-B77A-34D110C0BE12}">
            <xm:f>$S$8='Assessment Details'!$Q$23</xm:f>
            <x14:dxf>
              <font>
                <color theme="0"/>
              </font>
              <fill>
                <patternFill>
                  <bgColor theme="0"/>
                </patternFill>
              </fill>
              <border>
                <vertical/>
                <horizontal/>
              </border>
            </x14:dxf>
          </x14:cfRule>
          <xm:sqref>Q117:R117</xm:sqref>
        </x14:conditionalFormatting>
        <x14:conditionalFormatting xmlns:xm="http://schemas.microsoft.com/office/excel/2006/main">
          <x14:cfRule type="expression" priority="1124" id="{48CF0650-BF7E-44AC-9F17-75C452C88A1E}">
            <xm:f>$S$8='Assessment Details'!$Q$23</xm:f>
            <x14:dxf>
              <border>
                <left style="thin">
                  <color theme="0"/>
                </left>
                <right style="thin">
                  <color theme="0"/>
                </right>
                <top style="thin">
                  <color theme="0"/>
                </top>
                <bottom style="thin">
                  <color theme="0"/>
                </bottom>
                <vertical/>
                <horizontal/>
              </border>
            </x14:dxf>
          </x14:cfRule>
          <xm:sqref>Q117:R117</xm:sqref>
        </x14:conditionalFormatting>
        <x14:conditionalFormatting xmlns:xm="http://schemas.microsoft.com/office/excel/2006/main">
          <x14:cfRule type="expression" priority="1123" id="{7D5772DD-D924-4429-89D0-A0B89E56E56E}">
            <xm:f>$Z$8='Assessment Details'!$Q$23</xm:f>
            <x14:dxf>
              <font>
                <color theme="0"/>
              </font>
              <fill>
                <patternFill>
                  <bgColor theme="0"/>
                </patternFill>
              </fill>
            </x14:dxf>
          </x14:cfRule>
          <xm:sqref>U117</xm:sqref>
        </x14:conditionalFormatting>
        <x14:conditionalFormatting xmlns:xm="http://schemas.microsoft.com/office/excel/2006/main">
          <x14:cfRule type="expression" priority="1122" id="{76622B2F-5B20-4947-A273-3BD00F9314A7}">
            <xm:f>$Z$8='Assessment Details'!$Q$23</xm:f>
            <x14:dxf>
              <border>
                <left style="thin">
                  <color theme="0"/>
                </left>
                <right style="thin">
                  <color theme="0"/>
                </right>
                <top style="thin">
                  <color theme="0"/>
                </top>
                <bottom style="thin">
                  <color theme="0"/>
                </bottom>
                <vertical/>
                <horizontal/>
              </border>
            </x14:dxf>
          </x14:cfRule>
          <xm:sqref>U117</xm:sqref>
        </x14:conditionalFormatting>
        <x14:conditionalFormatting xmlns:xm="http://schemas.microsoft.com/office/excel/2006/main">
          <x14:cfRule type="expression" priority="1113" id="{1FFE2CDF-5A3B-464B-B27F-AEE5C806C559}">
            <xm:f>$S$8='Assessment Details'!$Q$23</xm:f>
            <x14:dxf>
              <font>
                <color theme="0"/>
              </font>
              <fill>
                <patternFill>
                  <bgColor theme="0"/>
                </patternFill>
              </fill>
              <border>
                <vertical/>
                <horizontal/>
              </border>
            </x14:dxf>
          </x14:cfRule>
          <xm:sqref>Q147:R147</xm:sqref>
        </x14:conditionalFormatting>
        <x14:conditionalFormatting xmlns:xm="http://schemas.microsoft.com/office/excel/2006/main">
          <x14:cfRule type="expression" priority="1112" id="{8E3B65D4-BF8F-41BB-8BC1-47A89858900A}">
            <xm:f>$S$8='Assessment Details'!$Q$23</xm:f>
            <x14:dxf>
              <border>
                <left style="thin">
                  <color theme="0"/>
                </left>
                <right style="thin">
                  <color theme="0"/>
                </right>
                <top style="thin">
                  <color theme="0"/>
                </top>
                <bottom style="thin">
                  <color theme="0"/>
                </bottom>
                <vertical/>
                <horizontal/>
              </border>
            </x14:dxf>
          </x14:cfRule>
          <xm:sqref>Q147:R147</xm:sqref>
        </x14:conditionalFormatting>
        <x14:conditionalFormatting xmlns:xm="http://schemas.microsoft.com/office/excel/2006/main">
          <x14:cfRule type="expression" priority="1111" id="{4D02F44B-AD7E-441E-80DD-0A60777C100A}">
            <xm:f>$Z$8='Assessment Details'!$Q$23</xm:f>
            <x14:dxf>
              <font>
                <color theme="0"/>
              </font>
              <fill>
                <patternFill>
                  <bgColor theme="0"/>
                </patternFill>
              </fill>
            </x14:dxf>
          </x14:cfRule>
          <xm:sqref>U147</xm:sqref>
        </x14:conditionalFormatting>
        <x14:conditionalFormatting xmlns:xm="http://schemas.microsoft.com/office/excel/2006/main">
          <x14:cfRule type="expression" priority="1110" id="{C7F05634-C1C7-4679-A9F9-F9612083CF9F}">
            <xm:f>$Z$8='Assessment Details'!$Q$23</xm:f>
            <x14:dxf>
              <border>
                <left style="thin">
                  <color theme="0"/>
                </left>
                <right style="thin">
                  <color theme="0"/>
                </right>
                <top style="thin">
                  <color theme="0"/>
                </top>
                <bottom style="thin">
                  <color theme="0"/>
                </bottom>
                <vertical/>
                <horizontal/>
              </border>
            </x14:dxf>
          </x14:cfRule>
          <xm:sqref>U147</xm:sqref>
        </x14:conditionalFormatting>
        <x14:conditionalFormatting xmlns:xm="http://schemas.microsoft.com/office/excel/2006/main">
          <x14:cfRule type="expression" priority="1101" id="{0056FDA5-F740-4214-8184-D291462FB1E4}">
            <xm:f>$S$8='Assessment Details'!$Q$23</xm:f>
            <x14:dxf>
              <font>
                <color theme="0"/>
              </font>
              <fill>
                <patternFill>
                  <bgColor theme="0"/>
                </patternFill>
              </fill>
              <border>
                <vertical/>
                <horizontal/>
              </border>
            </x14:dxf>
          </x14:cfRule>
          <xm:sqref>Q162:R162</xm:sqref>
        </x14:conditionalFormatting>
        <x14:conditionalFormatting xmlns:xm="http://schemas.microsoft.com/office/excel/2006/main">
          <x14:cfRule type="expression" priority="1100" id="{1BCD2277-3EAB-4A22-93BB-E26D28CC0C3A}">
            <xm:f>$S$8='Assessment Details'!$Q$23</xm:f>
            <x14:dxf>
              <border>
                <left style="thin">
                  <color theme="0"/>
                </left>
                <right style="thin">
                  <color theme="0"/>
                </right>
                <top style="thin">
                  <color theme="0"/>
                </top>
                <bottom style="thin">
                  <color theme="0"/>
                </bottom>
                <vertical/>
                <horizontal/>
              </border>
            </x14:dxf>
          </x14:cfRule>
          <xm:sqref>Q162:R162</xm:sqref>
        </x14:conditionalFormatting>
        <x14:conditionalFormatting xmlns:xm="http://schemas.microsoft.com/office/excel/2006/main">
          <x14:cfRule type="expression" priority="1099" id="{BA1EBAC0-8656-4B2A-BDB0-FC726DB0747D}">
            <xm:f>$Z$8='Assessment Details'!$Q$23</xm:f>
            <x14:dxf>
              <font>
                <color theme="0"/>
              </font>
              <fill>
                <patternFill>
                  <bgColor theme="0"/>
                </patternFill>
              </fill>
            </x14:dxf>
          </x14:cfRule>
          <xm:sqref>U162</xm:sqref>
        </x14:conditionalFormatting>
        <x14:conditionalFormatting xmlns:xm="http://schemas.microsoft.com/office/excel/2006/main">
          <x14:cfRule type="expression" priority="1098" id="{D40BFFAE-632F-4041-81F0-92A93FE14725}">
            <xm:f>$Z$8='Assessment Details'!$Q$23</xm:f>
            <x14:dxf>
              <border>
                <left style="thin">
                  <color theme="0"/>
                </left>
                <right style="thin">
                  <color theme="0"/>
                </right>
                <top style="thin">
                  <color theme="0"/>
                </top>
                <bottom style="thin">
                  <color theme="0"/>
                </bottom>
                <vertical/>
                <horizontal/>
              </border>
            </x14:dxf>
          </x14:cfRule>
          <xm:sqref>U162</xm:sqref>
        </x14:conditionalFormatting>
        <x14:conditionalFormatting xmlns:xm="http://schemas.microsoft.com/office/excel/2006/main">
          <x14:cfRule type="expression" priority="1089" id="{01659BDE-7E5B-4728-97BD-B3D5A26A65DA}">
            <xm:f>$S$8='Assessment Details'!$Q$23</xm:f>
            <x14:dxf>
              <font>
                <color theme="0"/>
              </font>
              <fill>
                <patternFill>
                  <bgColor theme="0"/>
                </patternFill>
              </fill>
              <border>
                <vertical/>
                <horizontal/>
              </border>
            </x14:dxf>
          </x14:cfRule>
          <xm:sqref>Q194:R194</xm:sqref>
        </x14:conditionalFormatting>
        <x14:conditionalFormatting xmlns:xm="http://schemas.microsoft.com/office/excel/2006/main">
          <x14:cfRule type="expression" priority="1088" id="{B2F0B264-AE4A-4FC5-ACBB-80DB6BD7C930}">
            <xm:f>$S$8='Assessment Details'!$Q$23</xm:f>
            <x14:dxf>
              <border>
                <left style="thin">
                  <color theme="0"/>
                </left>
                <right style="thin">
                  <color theme="0"/>
                </right>
                <top style="thin">
                  <color theme="0"/>
                </top>
                <bottom style="thin">
                  <color theme="0"/>
                </bottom>
                <vertical/>
                <horizontal/>
              </border>
            </x14:dxf>
          </x14:cfRule>
          <xm:sqref>Q194:R194</xm:sqref>
        </x14:conditionalFormatting>
        <x14:conditionalFormatting xmlns:xm="http://schemas.microsoft.com/office/excel/2006/main">
          <x14:cfRule type="expression" priority="1087" id="{A8CFDC61-3803-40AA-88E2-289AA29EC575}">
            <xm:f>$Z$8='Assessment Details'!$Q$23</xm:f>
            <x14:dxf>
              <font>
                <color theme="0"/>
              </font>
              <fill>
                <patternFill>
                  <bgColor theme="0"/>
                </patternFill>
              </fill>
            </x14:dxf>
          </x14:cfRule>
          <xm:sqref>U194</xm:sqref>
        </x14:conditionalFormatting>
        <x14:conditionalFormatting xmlns:xm="http://schemas.microsoft.com/office/excel/2006/main">
          <x14:cfRule type="expression" priority="1086" id="{A1ECE2F7-5534-47E3-AA5F-59EA4217462D}">
            <xm:f>$Z$8='Assessment Details'!$Q$23</xm:f>
            <x14:dxf>
              <border>
                <left style="thin">
                  <color theme="0"/>
                </left>
                <right style="thin">
                  <color theme="0"/>
                </right>
                <top style="thin">
                  <color theme="0"/>
                </top>
                <bottom style="thin">
                  <color theme="0"/>
                </bottom>
                <vertical/>
                <horizontal/>
              </border>
            </x14:dxf>
          </x14:cfRule>
          <xm:sqref>U194</xm:sqref>
        </x14:conditionalFormatting>
        <x14:conditionalFormatting xmlns:xm="http://schemas.microsoft.com/office/excel/2006/main">
          <x14:cfRule type="expression" priority="1077" id="{89C49241-A961-4AFA-940F-7360A325BAED}">
            <xm:f>$S$8='Assessment Details'!$Q$23</xm:f>
            <x14:dxf>
              <font>
                <color theme="0"/>
              </font>
              <fill>
                <patternFill>
                  <bgColor theme="0"/>
                </patternFill>
              </fill>
              <border>
                <vertical/>
                <horizontal/>
              </border>
            </x14:dxf>
          </x14:cfRule>
          <xm:sqref>Q211:R211</xm:sqref>
        </x14:conditionalFormatting>
        <x14:conditionalFormatting xmlns:xm="http://schemas.microsoft.com/office/excel/2006/main">
          <x14:cfRule type="expression" priority="1076" id="{BF658C0A-7B19-406B-A0E6-C17085941988}">
            <xm:f>$S$8='Assessment Details'!$Q$23</xm:f>
            <x14:dxf>
              <border>
                <left style="thin">
                  <color theme="0"/>
                </left>
                <right style="thin">
                  <color theme="0"/>
                </right>
                <top style="thin">
                  <color theme="0"/>
                </top>
                <bottom style="thin">
                  <color theme="0"/>
                </bottom>
                <vertical/>
                <horizontal/>
              </border>
            </x14:dxf>
          </x14:cfRule>
          <xm:sqref>Q211:R211</xm:sqref>
        </x14:conditionalFormatting>
        <x14:conditionalFormatting xmlns:xm="http://schemas.microsoft.com/office/excel/2006/main">
          <x14:cfRule type="expression" priority="1075" id="{43E8197F-C15F-4E6A-9D11-219C57008C5C}">
            <xm:f>$Z$8='Assessment Details'!$Q$23</xm:f>
            <x14:dxf>
              <font>
                <color theme="0"/>
              </font>
              <fill>
                <patternFill>
                  <bgColor theme="0"/>
                </patternFill>
              </fill>
            </x14:dxf>
          </x14:cfRule>
          <xm:sqref>U211</xm:sqref>
        </x14:conditionalFormatting>
        <x14:conditionalFormatting xmlns:xm="http://schemas.microsoft.com/office/excel/2006/main">
          <x14:cfRule type="expression" priority="1074" id="{F45E98F7-5F58-46EB-8121-5241DBEB9E82}">
            <xm:f>$Z$8='Assessment Details'!$Q$23</xm:f>
            <x14:dxf>
              <border>
                <left style="thin">
                  <color theme="0"/>
                </left>
                <right style="thin">
                  <color theme="0"/>
                </right>
                <top style="thin">
                  <color theme="0"/>
                </top>
                <bottom style="thin">
                  <color theme="0"/>
                </bottom>
                <vertical/>
                <horizontal/>
              </border>
            </x14:dxf>
          </x14:cfRule>
          <xm:sqref>U211</xm:sqref>
        </x14:conditionalFormatting>
        <x14:conditionalFormatting xmlns:xm="http://schemas.microsoft.com/office/excel/2006/main">
          <x14:cfRule type="expression" priority="1063" id="{3B264B50-F180-4FE0-8A6C-12ECE604D2C9}">
            <xm:f>$Z$8='Assessment Details'!$Q$23</xm:f>
            <x14:dxf>
              <font>
                <color theme="0"/>
              </font>
              <fill>
                <patternFill>
                  <bgColor theme="0"/>
                </patternFill>
              </fill>
            </x14:dxf>
          </x14:cfRule>
          <xm:sqref>U228</xm:sqref>
        </x14:conditionalFormatting>
        <x14:conditionalFormatting xmlns:xm="http://schemas.microsoft.com/office/excel/2006/main">
          <x14:cfRule type="expression" priority="1062" id="{6A2E87DA-EB79-40E0-873E-702FD57712F9}">
            <xm:f>$Z$8='Assessment Details'!$Q$23</xm:f>
            <x14:dxf>
              <border>
                <left style="thin">
                  <color theme="0"/>
                </left>
                <right style="thin">
                  <color theme="0"/>
                </right>
                <top style="thin">
                  <color theme="0"/>
                </top>
                <bottom style="thin">
                  <color theme="0"/>
                </bottom>
                <vertical/>
                <horizontal/>
              </border>
            </x14:dxf>
          </x14:cfRule>
          <xm:sqref>U228</xm:sqref>
        </x14:conditionalFormatting>
        <x14:conditionalFormatting xmlns:xm="http://schemas.microsoft.com/office/excel/2006/main">
          <x14:cfRule type="expression" priority="1057" id="{307AA2B4-9460-4D64-B64E-D9E082FDD21D}">
            <xm:f>$S$8='Assessment Details'!$Q$23</xm:f>
            <x14:dxf>
              <font>
                <color theme="0"/>
              </font>
              <fill>
                <patternFill>
                  <bgColor theme="0"/>
                </patternFill>
              </fill>
              <border>
                <vertical/>
                <horizontal/>
              </border>
            </x14:dxf>
          </x14:cfRule>
          <xm:sqref>N57</xm:sqref>
        </x14:conditionalFormatting>
        <x14:conditionalFormatting xmlns:xm="http://schemas.microsoft.com/office/excel/2006/main">
          <x14:cfRule type="expression" priority="1056" id="{E054E369-8675-45A9-9063-6772B90EC6F0}">
            <xm:f>$S$8='Assessment Details'!$Q$23</xm:f>
            <x14:dxf>
              <border>
                <left style="thin">
                  <color theme="0"/>
                </left>
                <right style="thin">
                  <color theme="0"/>
                </right>
                <top style="thin">
                  <color theme="0"/>
                </top>
                <bottom style="thin">
                  <color theme="0"/>
                </bottom>
                <vertical/>
                <horizontal/>
              </border>
            </x14:dxf>
          </x14:cfRule>
          <xm:sqref>N57</xm:sqref>
        </x14:conditionalFormatting>
        <x14:conditionalFormatting xmlns:xm="http://schemas.microsoft.com/office/excel/2006/main">
          <x14:cfRule type="expression" priority="1053" id="{A1C72D73-A9A2-4173-B170-EA428AE8FCE0}">
            <xm:f>$S$8='Assessment Details'!$Q$23</xm:f>
            <x14:dxf>
              <font>
                <color theme="0"/>
              </font>
              <fill>
                <patternFill>
                  <bgColor theme="0"/>
                </patternFill>
              </fill>
              <border>
                <vertical/>
                <horizontal/>
              </border>
            </x14:dxf>
          </x14:cfRule>
          <xm:sqref>N121</xm:sqref>
        </x14:conditionalFormatting>
        <x14:conditionalFormatting xmlns:xm="http://schemas.microsoft.com/office/excel/2006/main">
          <x14:cfRule type="expression" priority="1052" id="{C332B9BF-6CBB-4400-A162-14E1CE03FA30}">
            <xm:f>$S$8='Assessment Details'!$Q$23</xm:f>
            <x14:dxf>
              <border>
                <left style="thin">
                  <color theme="0"/>
                </left>
                <right style="thin">
                  <color theme="0"/>
                </right>
                <top style="thin">
                  <color theme="0"/>
                </top>
                <bottom style="thin">
                  <color theme="0"/>
                </bottom>
                <vertical/>
                <horizontal/>
              </border>
            </x14:dxf>
          </x14:cfRule>
          <xm:sqref>N121</xm:sqref>
        </x14:conditionalFormatting>
        <x14:conditionalFormatting xmlns:xm="http://schemas.microsoft.com/office/excel/2006/main">
          <x14:cfRule type="expression" priority="1049" id="{0CA13EFB-5FAE-443D-AAEA-19BF3CBA73DF}">
            <xm:f>$S$8='Assessment Details'!$Q$23</xm:f>
            <x14:dxf>
              <font>
                <color theme="0"/>
              </font>
              <fill>
                <patternFill>
                  <bgColor theme="0"/>
                </patternFill>
              </fill>
              <border>
                <vertical/>
                <horizontal/>
              </border>
            </x14:dxf>
          </x14:cfRule>
          <xm:sqref>N125</xm:sqref>
        </x14:conditionalFormatting>
        <x14:conditionalFormatting xmlns:xm="http://schemas.microsoft.com/office/excel/2006/main">
          <x14:cfRule type="expression" priority="1048" id="{0F71D829-C403-4643-9F3F-9308293F6A30}">
            <xm:f>$S$8='Assessment Details'!$Q$23</xm:f>
            <x14:dxf>
              <border>
                <left style="thin">
                  <color theme="0"/>
                </left>
                <right style="thin">
                  <color theme="0"/>
                </right>
                <top style="thin">
                  <color theme="0"/>
                </top>
                <bottom style="thin">
                  <color theme="0"/>
                </bottom>
                <vertical/>
                <horizontal/>
              </border>
            </x14:dxf>
          </x14:cfRule>
          <xm:sqref>N125</xm:sqref>
        </x14:conditionalFormatting>
        <x14:conditionalFormatting xmlns:xm="http://schemas.microsoft.com/office/excel/2006/main">
          <x14:cfRule type="expression" priority="1045" id="{9AB21409-CDEA-4079-BDC1-9A141F03A66C}">
            <xm:f>$S$8='Assessment Details'!$Q$23</xm:f>
            <x14:dxf>
              <font>
                <color theme="0"/>
              </font>
              <fill>
                <patternFill>
                  <bgColor theme="0"/>
                </patternFill>
              </fill>
              <border>
                <vertical/>
                <horizontal/>
              </border>
            </x14:dxf>
          </x14:cfRule>
          <xm:sqref>N129</xm:sqref>
        </x14:conditionalFormatting>
        <x14:conditionalFormatting xmlns:xm="http://schemas.microsoft.com/office/excel/2006/main">
          <x14:cfRule type="expression" priority="1044" id="{F5414219-E047-4E00-B627-ED7355889037}">
            <xm:f>$S$8='Assessment Details'!$Q$23</xm:f>
            <x14:dxf>
              <border>
                <left style="thin">
                  <color theme="0"/>
                </left>
                <right style="thin">
                  <color theme="0"/>
                </right>
                <top style="thin">
                  <color theme="0"/>
                </top>
                <bottom style="thin">
                  <color theme="0"/>
                </bottom>
                <vertical/>
                <horizontal/>
              </border>
            </x14:dxf>
          </x14:cfRule>
          <xm:sqref>N129</xm:sqref>
        </x14:conditionalFormatting>
        <x14:conditionalFormatting xmlns:xm="http://schemas.microsoft.com/office/excel/2006/main">
          <x14:cfRule type="expression" priority="1041" id="{7C843AA6-8F10-48A2-A7B5-BAA3503304A0}">
            <xm:f>$S$8='Assessment Details'!$Q$23</xm:f>
            <x14:dxf>
              <font>
                <color theme="0"/>
              </font>
              <fill>
                <patternFill>
                  <bgColor theme="0"/>
                </patternFill>
              </fill>
              <border>
                <vertical/>
                <horizontal/>
              </border>
            </x14:dxf>
          </x14:cfRule>
          <xm:sqref>N133</xm:sqref>
        </x14:conditionalFormatting>
        <x14:conditionalFormatting xmlns:xm="http://schemas.microsoft.com/office/excel/2006/main">
          <x14:cfRule type="expression" priority="1040" id="{1B33CFF4-4F1B-4FD8-9433-725623964A4E}">
            <xm:f>$S$8='Assessment Details'!$Q$23</xm:f>
            <x14:dxf>
              <border>
                <left style="thin">
                  <color theme="0"/>
                </left>
                <right style="thin">
                  <color theme="0"/>
                </right>
                <top style="thin">
                  <color theme="0"/>
                </top>
                <bottom style="thin">
                  <color theme="0"/>
                </bottom>
                <vertical/>
                <horizontal/>
              </border>
            </x14:dxf>
          </x14:cfRule>
          <xm:sqref>N133</xm:sqref>
        </x14:conditionalFormatting>
        <x14:conditionalFormatting xmlns:xm="http://schemas.microsoft.com/office/excel/2006/main">
          <x14:cfRule type="expression" priority="1037" id="{B4BB3E1A-7AFC-461C-AA75-FD582653BF7C}">
            <xm:f>$S$8='Assessment Details'!$Q$23</xm:f>
            <x14:dxf>
              <font>
                <color theme="0"/>
              </font>
              <fill>
                <patternFill>
                  <bgColor theme="0"/>
                </patternFill>
              </fill>
              <border>
                <vertical/>
                <horizontal/>
              </border>
            </x14:dxf>
          </x14:cfRule>
          <xm:sqref>N169</xm:sqref>
        </x14:conditionalFormatting>
        <x14:conditionalFormatting xmlns:xm="http://schemas.microsoft.com/office/excel/2006/main">
          <x14:cfRule type="expression" priority="1036" id="{0C1307FD-EF1C-4875-A07B-1E2C833AB17E}">
            <xm:f>$S$8='Assessment Details'!$Q$23</xm:f>
            <x14:dxf>
              <border>
                <left style="thin">
                  <color theme="0"/>
                </left>
                <right style="thin">
                  <color theme="0"/>
                </right>
                <top style="thin">
                  <color theme="0"/>
                </top>
                <bottom style="thin">
                  <color theme="0"/>
                </bottom>
                <vertical/>
                <horizontal/>
              </border>
            </x14:dxf>
          </x14:cfRule>
          <xm:sqref>N169</xm:sqref>
        </x14:conditionalFormatting>
        <x14:conditionalFormatting xmlns:xm="http://schemas.microsoft.com/office/excel/2006/main">
          <x14:cfRule type="expression" priority="1029" id="{E15BC88D-C946-4E1A-BD75-8CEC8E32FC7D}">
            <xm:f>$S$8='Assessment Details'!$Q$23</xm:f>
            <x14:dxf>
              <font>
                <color theme="0"/>
              </font>
              <fill>
                <patternFill>
                  <bgColor theme="0"/>
                </patternFill>
              </fill>
              <border>
                <vertical/>
                <horizontal/>
              </border>
            </x14:dxf>
          </x14:cfRule>
          <xm:sqref>N177</xm:sqref>
        </x14:conditionalFormatting>
        <x14:conditionalFormatting xmlns:xm="http://schemas.microsoft.com/office/excel/2006/main">
          <x14:cfRule type="expression" priority="1028" id="{D6BB9F8E-0A57-42E3-B5E1-7644F2DFCD46}">
            <xm:f>$S$8='Assessment Details'!$Q$23</xm:f>
            <x14:dxf>
              <border>
                <left style="thin">
                  <color theme="0"/>
                </left>
                <right style="thin">
                  <color theme="0"/>
                </right>
                <top style="thin">
                  <color theme="0"/>
                </top>
                <bottom style="thin">
                  <color theme="0"/>
                </bottom>
                <vertical/>
                <horizontal/>
              </border>
            </x14:dxf>
          </x14:cfRule>
          <xm:sqref>N177</xm:sqref>
        </x14:conditionalFormatting>
        <x14:conditionalFormatting xmlns:xm="http://schemas.microsoft.com/office/excel/2006/main">
          <x14:cfRule type="expression" priority="1025" id="{810D66C2-8584-47FB-BFB3-19127E2BA28A}">
            <xm:f>$S$8='Assessment Details'!$Q$23</xm:f>
            <x14:dxf>
              <font>
                <color theme="0"/>
              </font>
              <fill>
                <patternFill>
                  <bgColor theme="0"/>
                </patternFill>
              </fill>
              <border>
                <vertical/>
                <horizontal/>
              </border>
            </x14:dxf>
          </x14:cfRule>
          <xm:sqref>N181</xm:sqref>
        </x14:conditionalFormatting>
        <x14:conditionalFormatting xmlns:xm="http://schemas.microsoft.com/office/excel/2006/main">
          <x14:cfRule type="expression" priority="1024" id="{B52E7EFA-7B11-4DBB-A261-0F30E0B8B818}">
            <xm:f>$S$8='Assessment Details'!$Q$23</xm:f>
            <x14:dxf>
              <border>
                <left style="thin">
                  <color theme="0"/>
                </left>
                <right style="thin">
                  <color theme="0"/>
                </right>
                <top style="thin">
                  <color theme="0"/>
                </top>
                <bottom style="thin">
                  <color theme="0"/>
                </bottom>
                <vertical/>
                <horizontal/>
              </border>
            </x14:dxf>
          </x14:cfRule>
          <xm:sqref>N181</xm:sqref>
        </x14:conditionalFormatting>
        <x14:conditionalFormatting xmlns:xm="http://schemas.microsoft.com/office/excel/2006/main">
          <x14:cfRule type="expression" priority="1021" id="{FCD7DC89-57F5-486F-A2F7-AF9377A04FA9}">
            <xm:f>$S$8='Assessment Details'!$Q$23</xm:f>
            <x14:dxf>
              <font>
                <color theme="0"/>
              </font>
              <fill>
                <patternFill>
                  <bgColor theme="0"/>
                </patternFill>
              </fill>
              <border>
                <vertical/>
                <horizontal/>
              </border>
            </x14:dxf>
          </x14:cfRule>
          <xm:sqref>N187</xm:sqref>
        </x14:conditionalFormatting>
        <x14:conditionalFormatting xmlns:xm="http://schemas.microsoft.com/office/excel/2006/main">
          <x14:cfRule type="expression" priority="1020" id="{AB28594F-A99A-4757-BFE1-E7147E2E7D60}">
            <xm:f>$S$8='Assessment Details'!$Q$23</xm:f>
            <x14:dxf>
              <border>
                <left style="thin">
                  <color theme="0"/>
                </left>
                <right style="thin">
                  <color theme="0"/>
                </right>
                <top style="thin">
                  <color theme="0"/>
                </top>
                <bottom style="thin">
                  <color theme="0"/>
                </bottom>
                <vertical/>
                <horizontal/>
              </border>
            </x14:dxf>
          </x14:cfRule>
          <xm:sqref>N187</xm:sqref>
        </x14:conditionalFormatting>
        <x14:conditionalFormatting xmlns:xm="http://schemas.microsoft.com/office/excel/2006/main">
          <x14:cfRule type="expression" priority="1017" id="{9F3666A8-497C-45D2-A62F-5030F38C5965}">
            <xm:f>$S$8='Assessment Details'!$Q$23</xm:f>
            <x14:dxf>
              <font>
                <color theme="0"/>
              </font>
              <fill>
                <patternFill>
                  <bgColor theme="0"/>
                </patternFill>
              </fill>
              <border>
                <vertical/>
                <horizontal/>
              </border>
            </x14:dxf>
          </x14:cfRule>
          <xm:sqref>N190</xm:sqref>
        </x14:conditionalFormatting>
        <x14:conditionalFormatting xmlns:xm="http://schemas.microsoft.com/office/excel/2006/main">
          <x14:cfRule type="expression" priority="1016" id="{1F45E4FB-CB65-4365-B584-4E2C78889E6D}">
            <xm:f>$S$8='Assessment Details'!$Q$23</xm:f>
            <x14:dxf>
              <border>
                <left style="thin">
                  <color theme="0"/>
                </left>
                <right style="thin">
                  <color theme="0"/>
                </right>
                <top style="thin">
                  <color theme="0"/>
                </top>
                <bottom style="thin">
                  <color theme="0"/>
                </bottom>
                <vertical/>
                <horizontal/>
              </border>
            </x14:dxf>
          </x14:cfRule>
          <xm:sqref>N190</xm:sqref>
        </x14:conditionalFormatting>
        <x14:conditionalFormatting xmlns:xm="http://schemas.microsoft.com/office/excel/2006/main">
          <x14:cfRule type="expression" priority="1013" id="{19AB23A2-C4DB-4818-8BF7-717483615861}">
            <xm:f>$Z$8='Assessment Details'!$Q$23</xm:f>
            <x14:dxf>
              <font>
                <color theme="0"/>
              </font>
              <fill>
                <patternFill>
                  <bgColor theme="0"/>
                </patternFill>
              </fill>
            </x14:dxf>
          </x14:cfRule>
          <xm:sqref>U57</xm:sqref>
        </x14:conditionalFormatting>
        <x14:conditionalFormatting xmlns:xm="http://schemas.microsoft.com/office/excel/2006/main">
          <x14:cfRule type="expression" priority="1012" id="{3E522E31-31A2-4846-86B9-8C7E51FDE895}">
            <xm:f>$Z$8='Assessment Details'!$Q$23</xm:f>
            <x14:dxf>
              <border>
                <left style="thin">
                  <color theme="0"/>
                </left>
                <right style="thin">
                  <color theme="0"/>
                </right>
                <top style="thin">
                  <color theme="0"/>
                </top>
                <bottom style="thin">
                  <color theme="0"/>
                </bottom>
                <vertical/>
                <horizontal/>
              </border>
            </x14:dxf>
          </x14:cfRule>
          <xm:sqref>U57</xm:sqref>
        </x14:conditionalFormatting>
        <x14:conditionalFormatting xmlns:xm="http://schemas.microsoft.com/office/excel/2006/main">
          <x14:cfRule type="expression" priority="1009" id="{E4F5CCB3-7DF2-44C2-997E-04B23439CC35}">
            <xm:f>$Z$8='Assessment Details'!$Q$23</xm:f>
            <x14:dxf>
              <font>
                <color theme="0"/>
              </font>
              <fill>
                <patternFill>
                  <bgColor theme="0"/>
                </patternFill>
              </fill>
            </x14:dxf>
          </x14:cfRule>
          <xm:sqref>U121</xm:sqref>
        </x14:conditionalFormatting>
        <x14:conditionalFormatting xmlns:xm="http://schemas.microsoft.com/office/excel/2006/main">
          <x14:cfRule type="expression" priority="1008" id="{8997DEA7-1621-4987-8607-29D63DAFA6D9}">
            <xm:f>$Z$8='Assessment Details'!$Q$23</xm:f>
            <x14:dxf>
              <border>
                <left style="thin">
                  <color theme="0"/>
                </left>
                <right style="thin">
                  <color theme="0"/>
                </right>
                <top style="thin">
                  <color theme="0"/>
                </top>
                <bottom style="thin">
                  <color theme="0"/>
                </bottom>
                <vertical/>
                <horizontal/>
              </border>
            </x14:dxf>
          </x14:cfRule>
          <xm:sqref>U121</xm:sqref>
        </x14:conditionalFormatting>
        <x14:conditionalFormatting xmlns:xm="http://schemas.microsoft.com/office/excel/2006/main">
          <x14:cfRule type="expression" priority="1005" id="{845251D0-00A1-4820-B1E0-5B0CE3E55951}">
            <xm:f>$Z$8='Assessment Details'!$Q$23</xm:f>
            <x14:dxf>
              <font>
                <color theme="0"/>
              </font>
              <fill>
                <patternFill>
                  <bgColor theme="0"/>
                </patternFill>
              </fill>
            </x14:dxf>
          </x14:cfRule>
          <xm:sqref>U125</xm:sqref>
        </x14:conditionalFormatting>
        <x14:conditionalFormatting xmlns:xm="http://schemas.microsoft.com/office/excel/2006/main">
          <x14:cfRule type="expression" priority="1004" id="{B98DEB26-927B-4877-99F1-2CE26AB46A9B}">
            <xm:f>$Z$8='Assessment Details'!$Q$23</xm:f>
            <x14:dxf>
              <border>
                <left style="thin">
                  <color theme="0"/>
                </left>
                <right style="thin">
                  <color theme="0"/>
                </right>
                <top style="thin">
                  <color theme="0"/>
                </top>
                <bottom style="thin">
                  <color theme="0"/>
                </bottom>
                <vertical/>
                <horizontal/>
              </border>
            </x14:dxf>
          </x14:cfRule>
          <xm:sqref>U125</xm:sqref>
        </x14:conditionalFormatting>
        <x14:conditionalFormatting xmlns:xm="http://schemas.microsoft.com/office/excel/2006/main">
          <x14:cfRule type="expression" priority="1001" id="{E89EA77A-3AB6-472C-B478-0F7F36629A8D}">
            <xm:f>$Z$8='Assessment Details'!$Q$23</xm:f>
            <x14:dxf>
              <font>
                <color theme="0"/>
              </font>
              <fill>
                <patternFill>
                  <bgColor theme="0"/>
                </patternFill>
              </fill>
            </x14:dxf>
          </x14:cfRule>
          <xm:sqref>U129</xm:sqref>
        </x14:conditionalFormatting>
        <x14:conditionalFormatting xmlns:xm="http://schemas.microsoft.com/office/excel/2006/main">
          <x14:cfRule type="expression" priority="1000" id="{E7D0564C-754D-4F6B-B819-B61EA376CEC6}">
            <xm:f>$Z$8='Assessment Details'!$Q$23</xm:f>
            <x14:dxf>
              <border>
                <left style="thin">
                  <color theme="0"/>
                </left>
                <right style="thin">
                  <color theme="0"/>
                </right>
                <top style="thin">
                  <color theme="0"/>
                </top>
                <bottom style="thin">
                  <color theme="0"/>
                </bottom>
                <vertical/>
                <horizontal/>
              </border>
            </x14:dxf>
          </x14:cfRule>
          <xm:sqref>U129</xm:sqref>
        </x14:conditionalFormatting>
        <x14:conditionalFormatting xmlns:xm="http://schemas.microsoft.com/office/excel/2006/main">
          <x14:cfRule type="expression" priority="997" id="{BA63B402-31D2-466A-8162-759370F1C7A3}">
            <xm:f>$Z$8='Assessment Details'!$Q$23</xm:f>
            <x14:dxf>
              <font>
                <color theme="0"/>
              </font>
              <fill>
                <patternFill>
                  <bgColor theme="0"/>
                </patternFill>
              </fill>
            </x14:dxf>
          </x14:cfRule>
          <xm:sqref>U133</xm:sqref>
        </x14:conditionalFormatting>
        <x14:conditionalFormatting xmlns:xm="http://schemas.microsoft.com/office/excel/2006/main">
          <x14:cfRule type="expression" priority="996" id="{A2D58C98-B1D2-44EB-9399-01C5952BC14C}">
            <xm:f>$Z$8='Assessment Details'!$Q$23</xm:f>
            <x14:dxf>
              <border>
                <left style="thin">
                  <color theme="0"/>
                </left>
                <right style="thin">
                  <color theme="0"/>
                </right>
                <top style="thin">
                  <color theme="0"/>
                </top>
                <bottom style="thin">
                  <color theme="0"/>
                </bottom>
                <vertical/>
                <horizontal/>
              </border>
            </x14:dxf>
          </x14:cfRule>
          <xm:sqref>U133</xm:sqref>
        </x14:conditionalFormatting>
        <x14:conditionalFormatting xmlns:xm="http://schemas.microsoft.com/office/excel/2006/main">
          <x14:cfRule type="expression" priority="993" id="{CF7298BA-77B9-485A-9BE2-478440936C0B}">
            <xm:f>$Z$8='Assessment Details'!$Q$23</xm:f>
            <x14:dxf>
              <font>
                <color theme="0"/>
              </font>
              <fill>
                <patternFill>
                  <bgColor theme="0"/>
                </patternFill>
              </fill>
            </x14:dxf>
          </x14:cfRule>
          <xm:sqref>U169</xm:sqref>
        </x14:conditionalFormatting>
        <x14:conditionalFormatting xmlns:xm="http://schemas.microsoft.com/office/excel/2006/main">
          <x14:cfRule type="expression" priority="992" id="{D7CF9EF4-7D95-437D-807D-E4BEDB3B5C36}">
            <xm:f>$Z$8='Assessment Details'!$Q$23</xm:f>
            <x14:dxf>
              <border>
                <left style="thin">
                  <color theme="0"/>
                </left>
                <right style="thin">
                  <color theme="0"/>
                </right>
                <top style="thin">
                  <color theme="0"/>
                </top>
                <bottom style="thin">
                  <color theme="0"/>
                </bottom>
                <vertical/>
                <horizontal/>
              </border>
            </x14:dxf>
          </x14:cfRule>
          <xm:sqref>U169</xm:sqref>
        </x14:conditionalFormatting>
        <x14:conditionalFormatting xmlns:xm="http://schemas.microsoft.com/office/excel/2006/main">
          <x14:cfRule type="expression" priority="985" id="{9C5F1920-15C5-4D63-BF78-C867EE0D1066}">
            <xm:f>$Z$8='Assessment Details'!$Q$23</xm:f>
            <x14:dxf>
              <font>
                <color theme="0"/>
              </font>
              <fill>
                <patternFill>
                  <bgColor theme="0"/>
                </patternFill>
              </fill>
            </x14:dxf>
          </x14:cfRule>
          <xm:sqref>U177</xm:sqref>
        </x14:conditionalFormatting>
        <x14:conditionalFormatting xmlns:xm="http://schemas.microsoft.com/office/excel/2006/main">
          <x14:cfRule type="expression" priority="984" id="{2BF95581-B9FF-4EB8-ACA1-D5906B79080F}">
            <xm:f>$Z$8='Assessment Details'!$Q$23</xm:f>
            <x14:dxf>
              <border>
                <left style="thin">
                  <color theme="0"/>
                </left>
                <right style="thin">
                  <color theme="0"/>
                </right>
                <top style="thin">
                  <color theme="0"/>
                </top>
                <bottom style="thin">
                  <color theme="0"/>
                </bottom>
                <vertical/>
                <horizontal/>
              </border>
            </x14:dxf>
          </x14:cfRule>
          <xm:sqref>U177</xm:sqref>
        </x14:conditionalFormatting>
        <x14:conditionalFormatting xmlns:xm="http://schemas.microsoft.com/office/excel/2006/main">
          <x14:cfRule type="expression" priority="981" id="{24031FE4-1162-4B7D-898B-DBE9F537F491}">
            <xm:f>$Z$8='Assessment Details'!$Q$23</xm:f>
            <x14:dxf>
              <font>
                <color theme="0"/>
              </font>
              <fill>
                <patternFill>
                  <bgColor theme="0"/>
                </patternFill>
              </fill>
            </x14:dxf>
          </x14:cfRule>
          <xm:sqref>U181</xm:sqref>
        </x14:conditionalFormatting>
        <x14:conditionalFormatting xmlns:xm="http://schemas.microsoft.com/office/excel/2006/main">
          <x14:cfRule type="expression" priority="980" id="{60293951-1398-4DE9-B2F3-E03416288676}">
            <xm:f>$Z$8='Assessment Details'!$Q$23</xm:f>
            <x14:dxf>
              <border>
                <left style="thin">
                  <color theme="0"/>
                </left>
                <right style="thin">
                  <color theme="0"/>
                </right>
                <top style="thin">
                  <color theme="0"/>
                </top>
                <bottom style="thin">
                  <color theme="0"/>
                </bottom>
                <vertical/>
                <horizontal/>
              </border>
            </x14:dxf>
          </x14:cfRule>
          <xm:sqref>U181</xm:sqref>
        </x14:conditionalFormatting>
        <x14:conditionalFormatting xmlns:xm="http://schemas.microsoft.com/office/excel/2006/main">
          <x14:cfRule type="expression" priority="977" id="{9EF85750-6FC4-475C-8C83-DFB11D4C3DA0}">
            <xm:f>$Z$8='Assessment Details'!$Q$23</xm:f>
            <x14:dxf>
              <font>
                <color theme="0"/>
              </font>
              <fill>
                <patternFill>
                  <bgColor theme="0"/>
                </patternFill>
              </fill>
            </x14:dxf>
          </x14:cfRule>
          <xm:sqref>U187</xm:sqref>
        </x14:conditionalFormatting>
        <x14:conditionalFormatting xmlns:xm="http://schemas.microsoft.com/office/excel/2006/main">
          <x14:cfRule type="expression" priority="976" id="{6010812E-E8F6-4C2D-B2E1-5E66992EFB0A}">
            <xm:f>$Z$8='Assessment Details'!$Q$23</xm:f>
            <x14:dxf>
              <border>
                <left style="thin">
                  <color theme="0"/>
                </left>
                <right style="thin">
                  <color theme="0"/>
                </right>
                <top style="thin">
                  <color theme="0"/>
                </top>
                <bottom style="thin">
                  <color theme="0"/>
                </bottom>
                <vertical/>
                <horizontal/>
              </border>
            </x14:dxf>
          </x14:cfRule>
          <xm:sqref>U187</xm:sqref>
        </x14:conditionalFormatting>
        <x14:conditionalFormatting xmlns:xm="http://schemas.microsoft.com/office/excel/2006/main">
          <x14:cfRule type="expression" priority="973" id="{0D72CF25-68DE-4A74-8636-9DAF8D6D6513}">
            <xm:f>$Z$8='Assessment Details'!$Q$23</xm:f>
            <x14:dxf>
              <font>
                <color theme="0"/>
              </font>
              <fill>
                <patternFill>
                  <bgColor theme="0"/>
                </patternFill>
              </fill>
            </x14:dxf>
          </x14:cfRule>
          <xm:sqref>U190</xm:sqref>
        </x14:conditionalFormatting>
        <x14:conditionalFormatting xmlns:xm="http://schemas.microsoft.com/office/excel/2006/main">
          <x14:cfRule type="expression" priority="972" id="{0ADC0875-4C4C-4DE0-AB5F-F67641AFDAA8}">
            <xm:f>$Z$8='Assessment Details'!$Q$23</xm:f>
            <x14:dxf>
              <border>
                <left style="thin">
                  <color theme="0"/>
                </left>
                <right style="thin">
                  <color theme="0"/>
                </right>
                <top style="thin">
                  <color theme="0"/>
                </top>
                <bottom style="thin">
                  <color theme="0"/>
                </bottom>
                <vertical/>
                <horizontal/>
              </border>
            </x14:dxf>
          </x14:cfRule>
          <xm:sqref>U190</xm:sqref>
        </x14:conditionalFormatting>
        <x14:conditionalFormatting xmlns:xm="http://schemas.microsoft.com/office/excel/2006/main">
          <x14:cfRule type="expression" priority="958" id="{B2517199-400D-4E79-BB0C-8BD036B7C495}">
            <xm:f>$S$8='Assessment Details'!$Q$23</xm:f>
            <x14:dxf>
              <font>
                <color theme="0"/>
              </font>
              <fill>
                <patternFill>
                  <bgColor theme="0"/>
                </patternFill>
              </fill>
              <border>
                <vertical/>
                <horizontal/>
              </border>
            </x14:dxf>
          </x14:cfRule>
          <xm:sqref>N137</xm:sqref>
        </x14:conditionalFormatting>
        <x14:conditionalFormatting xmlns:xm="http://schemas.microsoft.com/office/excel/2006/main">
          <x14:cfRule type="expression" priority="957" id="{671B9F9F-87A1-4E8F-887D-B1C37FC1C2D5}">
            <xm:f>$S$8='Assessment Details'!$Q$23</xm:f>
            <x14:dxf>
              <border>
                <left style="thin">
                  <color theme="0"/>
                </left>
                <right style="thin">
                  <color theme="0"/>
                </right>
                <top style="thin">
                  <color theme="0"/>
                </top>
                <bottom style="thin">
                  <color theme="0"/>
                </bottom>
                <vertical/>
                <horizontal/>
              </border>
            </x14:dxf>
          </x14:cfRule>
          <xm:sqref>N137</xm:sqref>
        </x14:conditionalFormatting>
        <x14:conditionalFormatting xmlns:xm="http://schemas.microsoft.com/office/excel/2006/main">
          <x14:cfRule type="expression" priority="956" id="{9004D2A5-FAC0-4FD6-A1A8-2D89AC9273B1}">
            <xm:f>$Z$8='Assessment Details'!$Q$23</xm:f>
            <x14:dxf>
              <font>
                <color theme="0"/>
              </font>
              <fill>
                <patternFill>
                  <bgColor theme="0"/>
                </patternFill>
              </fill>
            </x14:dxf>
          </x14:cfRule>
          <xm:sqref>X137:Y137</xm:sqref>
        </x14:conditionalFormatting>
        <x14:conditionalFormatting xmlns:xm="http://schemas.microsoft.com/office/excel/2006/main">
          <x14:cfRule type="expression" priority="955" id="{EEC41F94-236D-4872-A8F1-79FE52E4D557}">
            <xm:f>$Z$8='Assessment Details'!$Q$23</xm:f>
            <x14:dxf>
              <border>
                <left style="thin">
                  <color theme="0"/>
                </left>
                <right style="thin">
                  <color theme="0"/>
                </right>
                <top style="thin">
                  <color theme="0"/>
                </top>
                <bottom style="thin">
                  <color theme="0"/>
                </bottom>
                <vertical/>
                <horizontal/>
              </border>
            </x14:dxf>
          </x14:cfRule>
          <xm:sqref>X137:Y137</xm:sqref>
        </x14:conditionalFormatting>
        <x14:conditionalFormatting xmlns:xm="http://schemas.microsoft.com/office/excel/2006/main">
          <x14:cfRule type="expression" priority="941" id="{78D933A3-BF0F-43E5-BA80-71B8ABB8CBE1}">
            <xm:f>$Z$8='Assessment Details'!$Q$23</xm:f>
            <x14:dxf>
              <font>
                <color theme="0"/>
              </font>
              <fill>
                <patternFill>
                  <bgColor theme="0"/>
                </patternFill>
              </fill>
            </x14:dxf>
          </x14:cfRule>
          <xm:sqref>U137</xm:sqref>
        </x14:conditionalFormatting>
        <x14:conditionalFormatting xmlns:xm="http://schemas.microsoft.com/office/excel/2006/main">
          <x14:cfRule type="expression" priority="940" id="{AB46B7D5-2DE9-49A4-8D5C-3ABCC6D206FD}">
            <xm:f>$Z$8='Assessment Details'!$Q$23</xm:f>
            <x14:dxf>
              <border>
                <left style="thin">
                  <color theme="0"/>
                </left>
                <right style="thin">
                  <color theme="0"/>
                </right>
                <top style="thin">
                  <color theme="0"/>
                </top>
                <bottom style="thin">
                  <color theme="0"/>
                </bottom>
                <vertical/>
                <horizontal/>
              </border>
            </x14:dxf>
          </x14:cfRule>
          <xm:sqref>U137</xm:sqref>
        </x14:conditionalFormatting>
        <x14:conditionalFormatting xmlns:xm="http://schemas.microsoft.com/office/excel/2006/main">
          <x14:cfRule type="expression" priority="921" id="{385BE2E3-500F-401D-920E-E2C9CC87D169}">
            <xm:f>$S$8='Assessment Details'!$Q$23</xm:f>
            <x14:dxf>
              <font>
                <color theme="0"/>
              </font>
              <fill>
                <patternFill>
                  <bgColor theme="0"/>
                </patternFill>
              </fill>
              <border>
                <vertical/>
                <horizontal/>
              </border>
            </x14:dxf>
          </x14:cfRule>
          <xm:sqref>N200</xm:sqref>
        </x14:conditionalFormatting>
        <x14:conditionalFormatting xmlns:xm="http://schemas.microsoft.com/office/excel/2006/main">
          <x14:cfRule type="expression" priority="920" id="{636614CB-6B0E-4EB8-B6D3-15814EEAE26C}">
            <xm:f>$S$8='Assessment Details'!$Q$23</xm:f>
            <x14:dxf>
              <border>
                <left style="thin">
                  <color theme="0"/>
                </left>
                <right style="thin">
                  <color theme="0"/>
                </right>
                <top style="thin">
                  <color theme="0"/>
                </top>
                <bottom style="thin">
                  <color theme="0"/>
                </bottom>
                <vertical/>
                <horizontal/>
              </border>
            </x14:dxf>
          </x14:cfRule>
          <xm:sqref>N200</xm:sqref>
        </x14:conditionalFormatting>
        <x14:conditionalFormatting xmlns:xm="http://schemas.microsoft.com/office/excel/2006/main">
          <x14:cfRule type="expression" priority="919" id="{70D6E1F0-AB43-49B6-A6D2-18A2BF9BD4BF}">
            <xm:f>$Z$8='Assessment Details'!$Q$23</xm:f>
            <x14:dxf>
              <font>
                <color theme="0"/>
              </font>
              <fill>
                <patternFill>
                  <bgColor theme="0"/>
                </patternFill>
              </fill>
            </x14:dxf>
          </x14:cfRule>
          <xm:sqref>X200:Y200</xm:sqref>
        </x14:conditionalFormatting>
        <x14:conditionalFormatting xmlns:xm="http://schemas.microsoft.com/office/excel/2006/main">
          <x14:cfRule type="expression" priority="918" id="{C3ABDC6B-708E-47E9-BD59-2E270BA64C81}">
            <xm:f>$Z$8='Assessment Details'!$Q$23</xm:f>
            <x14:dxf>
              <border>
                <left style="thin">
                  <color theme="0"/>
                </left>
                <right style="thin">
                  <color theme="0"/>
                </right>
                <top style="thin">
                  <color theme="0"/>
                </top>
                <bottom style="thin">
                  <color theme="0"/>
                </bottom>
                <vertical/>
                <horizontal/>
              </border>
            </x14:dxf>
          </x14:cfRule>
          <xm:sqref>X200:Y200</xm:sqref>
        </x14:conditionalFormatting>
        <x14:conditionalFormatting xmlns:xm="http://schemas.microsoft.com/office/excel/2006/main">
          <x14:cfRule type="expression" priority="917" id="{36FE6BB4-476A-426A-BD77-348A14FCB506}">
            <xm:f>$Z$8='Assessment Details'!$Q$23</xm:f>
            <x14:dxf>
              <font>
                <color theme="0"/>
              </font>
              <fill>
                <patternFill>
                  <bgColor theme="0"/>
                </patternFill>
              </fill>
            </x14:dxf>
          </x14:cfRule>
          <xm:sqref>U200</xm:sqref>
        </x14:conditionalFormatting>
        <x14:conditionalFormatting xmlns:xm="http://schemas.microsoft.com/office/excel/2006/main">
          <x14:cfRule type="expression" priority="916" id="{163E1F5B-646D-4C32-8017-FA50D55ADAF7}">
            <xm:f>$Z$8='Assessment Details'!$Q$23</xm:f>
            <x14:dxf>
              <border>
                <left style="thin">
                  <color theme="0"/>
                </left>
                <right style="thin">
                  <color theme="0"/>
                </right>
                <top style="thin">
                  <color theme="0"/>
                </top>
                <bottom style="thin">
                  <color theme="0"/>
                </bottom>
                <vertical/>
                <horizontal/>
              </border>
            </x14:dxf>
          </x14:cfRule>
          <xm:sqref>U200</xm:sqref>
        </x14:conditionalFormatting>
        <x14:conditionalFormatting xmlns:xm="http://schemas.microsoft.com/office/excel/2006/main">
          <x14:cfRule type="expression" priority="910" id="{A9A358BE-AE04-490A-B2F6-E1AF02BEC657}">
            <xm:f>$S$8='Assessment Details'!$Q$23</xm:f>
            <x14:dxf>
              <font>
                <color theme="0"/>
              </font>
              <fill>
                <patternFill>
                  <bgColor theme="0"/>
                </patternFill>
              </fill>
              <border>
                <vertical/>
                <horizontal/>
              </border>
            </x14:dxf>
          </x14:cfRule>
          <xm:sqref>Q199:R199</xm:sqref>
        </x14:conditionalFormatting>
        <x14:conditionalFormatting xmlns:xm="http://schemas.microsoft.com/office/excel/2006/main">
          <x14:cfRule type="expression" priority="909" id="{CAC97284-68A8-41C8-AD4C-2463D87E9601}">
            <xm:f>$S$8='Assessment Details'!$Q$23</xm:f>
            <x14:dxf>
              <border>
                <left style="thin">
                  <color theme="0"/>
                </left>
                <right style="thin">
                  <color theme="0"/>
                </right>
                <top style="thin">
                  <color theme="0"/>
                </top>
                <bottom style="thin">
                  <color theme="0"/>
                </bottom>
                <vertical/>
                <horizontal/>
              </border>
            </x14:dxf>
          </x14:cfRule>
          <xm:sqref>Q199:R199</xm:sqref>
        </x14:conditionalFormatting>
        <x14:conditionalFormatting xmlns:xm="http://schemas.microsoft.com/office/excel/2006/main">
          <x14:cfRule type="expression" priority="896" id="{E80368FD-C2FC-46DB-B8AC-3633FFC17C20}">
            <xm:f>$S$8='Assessment Details'!$Q$23</xm:f>
            <x14:dxf>
              <font>
                <color theme="0"/>
              </font>
              <fill>
                <patternFill>
                  <bgColor theme="0"/>
                </patternFill>
              </fill>
              <border>
                <vertical/>
                <horizontal/>
              </border>
            </x14:dxf>
          </x14:cfRule>
          <xm:sqref>N199</xm:sqref>
        </x14:conditionalFormatting>
        <x14:conditionalFormatting xmlns:xm="http://schemas.microsoft.com/office/excel/2006/main">
          <x14:cfRule type="expression" priority="895" id="{BD2F9586-8A9C-4136-BEF7-6BE1F2EAB39B}">
            <xm:f>$S$8='Assessment Details'!$Q$23</xm:f>
            <x14:dxf>
              <border>
                <left style="thin">
                  <color theme="0"/>
                </left>
                <right style="thin">
                  <color theme="0"/>
                </right>
                <top style="thin">
                  <color theme="0"/>
                </top>
                <bottom style="thin">
                  <color theme="0"/>
                </bottom>
                <vertical/>
                <horizontal/>
              </border>
            </x14:dxf>
          </x14:cfRule>
          <xm:sqref>N199</xm:sqref>
        </x14:conditionalFormatting>
        <x14:conditionalFormatting xmlns:xm="http://schemas.microsoft.com/office/excel/2006/main">
          <x14:cfRule type="expression" priority="892" id="{878A2DCC-515D-4CD5-8B70-E72BA35F09A6}">
            <xm:f>$Z$8='Assessment Details'!$Q$23</xm:f>
            <x14:dxf>
              <font>
                <color theme="0"/>
              </font>
              <fill>
                <patternFill>
                  <bgColor theme="0"/>
                </patternFill>
              </fill>
            </x14:dxf>
          </x14:cfRule>
          <xm:sqref>U199</xm:sqref>
        </x14:conditionalFormatting>
        <x14:conditionalFormatting xmlns:xm="http://schemas.microsoft.com/office/excel/2006/main">
          <x14:cfRule type="expression" priority="891" id="{6603C269-79BC-4AF0-A48B-5E9E9B275056}">
            <xm:f>$Z$8='Assessment Details'!$Q$23</xm:f>
            <x14:dxf>
              <border>
                <left style="thin">
                  <color theme="0"/>
                </left>
                <right style="thin">
                  <color theme="0"/>
                </right>
                <top style="thin">
                  <color theme="0"/>
                </top>
                <bottom style="thin">
                  <color theme="0"/>
                </bottom>
                <vertical/>
                <horizontal/>
              </border>
            </x14:dxf>
          </x14:cfRule>
          <xm:sqref>U199</xm:sqref>
        </x14:conditionalFormatting>
        <x14:conditionalFormatting xmlns:xm="http://schemas.microsoft.com/office/excel/2006/main">
          <x14:cfRule type="expression" priority="872" id="{BDE5FF22-764F-4950-97D5-79695EA58120}">
            <xm:f>$S$8='Assessment Details'!$Q$23</xm:f>
            <x14:dxf>
              <font>
                <color theme="0"/>
              </font>
              <fill>
                <patternFill>
                  <bgColor theme="0"/>
                </patternFill>
              </fill>
              <border>
                <vertical/>
                <horizontal/>
              </border>
            </x14:dxf>
          </x14:cfRule>
          <xm:sqref>N26</xm:sqref>
        </x14:conditionalFormatting>
        <x14:conditionalFormatting xmlns:xm="http://schemas.microsoft.com/office/excel/2006/main">
          <x14:cfRule type="expression" priority="871" id="{2979B6A3-9751-4B14-A22B-92822002F447}">
            <xm:f>$S$8='Assessment Details'!$Q$23</xm:f>
            <x14:dxf>
              <border>
                <left style="thin">
                  <color theme="0"/>
                </left>
                <right style="thin">
                  <color theme="0"/>
                </right>
                <top style="thin">
                  <color theme="0"/>
                </top>
                <bottom style="thin">
                  <color theme="0"/>
                </bottom>
                <vertical/>
                <horizontal/>
              </border>
            </x14:dxf>
          </x14:cfRule>
          <xm:sqref>N26</xm:sqref>
        </x14:conditionalFormatting>
        <x14:conditionalFormatting xmlns:xm="http://schemas.microsoft.com/office/excel/2006/main">
          <x14:cfRule type="expression" priority="870" id="{CEEB2D4F-6911-4CB4-B1F4-C0EC8691A8CA}">
            <xm:f>$Z$8='Assessment Details'!$Q$23</xm:f>
            <x14:dxf>
              <font>
                <color theme="0"/>
              </font>
              <fill>
                <patternFill>
                  <bgColor theme="0"/>
                </patternFill>
              </fill>
            </x14:dxf>
          </x14:cfRule>
          <xm:sqref>X26:Y26</xm:sqref>
        </x14:conditionalFormatting>
        <x14:conditionalFormatting xmlns:xm="http://schemas.microsoft.com/office/excel/2006/main">
          <x14:cfRule type="expression" priority="869" id="{16AFEB61-6668-40A8-8FEC-02DF69DC0172}">
            <xm:f>$Z$8='Assessment Details'!$Q$23</xm:f>
            <x14:dxf>
              <border>
                <left style="thin">
                  <color theme="0"/>
                </left>
                <right style="thin">
                  <color theme="0"/>
                </right>
                <top style="thin">
                  <color theme="0"/>
                </top>
                <bottom style="thin">
                  <color theme="0"/>
                </bottom>
                <vertical/>
                <horizontal/>
              </border>
            </x14:dxf>
          </x14:cfRule>
          <xm:sqref>X26:Y26</xm:sqref>
        </x14:conditionalFormatting>
        <x14:conditionalFormatting xmlns:xm="http://schemas.microsoft.com/office/excel/2006/main">
          <x14:cfRule type="expression" priority="863" id="{B9198C9F-E0E7-4C7D-8A1F-625074EF54F5}">
            <xm:f>$Z$8='Assessment Details'!$Q$23</xm:f>
            <x14:dxf>
              <font>
                <color theme="0"/>
              </font>
              <fill>
                <patternFill>
                  <bgColor theme="0"/>
                </patternFill>
              </fill>
            </x14:dxf>
          </x14:cfRule>
          <xm:sqref>U26</xm:sqref>
        </x14:conditionalFormatting>
        <x14:conditionalFormatting xmlns:xm="http://schemas.microsoft.com/office/excel/2006/main">
          <x14:cfRule type="expression" priority="862" id="{BFFC2934-A5C3-473F-8B38-72DEA75E0879}">
            <xm:f>$Z$8='Assessment Details'!$Q$23</xm:f>
            <x14:dxf>
              <border>
                <left style="thin">
                  <color theme="0"/>
                </left>
                <right style="thin">
                  <color theme="0"/>
                </right>
                <top style="thin">
                  <color theme="0"/>
                </top>
                <bottom style="thin">
                  <color theme="0"/>
                </bottom>
                <vertical/>
                <horizontal/>
              </border>
            </x14:dxf>
          </x14:cfRule>
          <xm:sqref>U26</xm:sqref>
        </x14:conditionalFormatting>
        <x14:conditionalFormatting xmlns:xm="http://schemas.microsoft.com/office/excel/2006/main">
          <x14:cfRule type="expression" priority="843" id="{056CBADF-F4D1-40B8-A066-F2B999D51E32}">
            <xm:f>$S$8='Assessment Details'!$Q$23</xm:f>
            <x14:dxf>
              <font>
                <color theme="0"/>
              </font>
              <fill>
                <patternFill>
                  <bgColor theme="0"/>
                </patternFill>
              </fill>
              <border>
                <vertical/>
                <horizontal/>
              </border>
            </x14:dxf>
          </x14:cfRule>
          <xm:sqref>N27</xm:sqref>
        </x14:conditionalFormatting>
        <x14:conditionalFormatting xmlns:xm="http://schemas.microsoft.com/office/excel/2006/main">
          <x14:cfRule type="expression" priority="842" id="{D8E3BCA5-64FC-4B4A-85B4-098B22AC9517}">
            <xm:f>$S$8='Assessment Details'!$Q$23</xm:f>
            <x14:dxf>
              <border>
                <left style="thin">
                  <color theme="0"/>
                </left>
                <right style="thin">
                  <color theme="0"/>
                </right>
                <top style="thin">
                  <color theme="0"/>
                </top>
                <bottom style="thin">
                  <color theme="0"/>
                </bottom>
                <vertical/>
                <horizontal/>
              </border>
            </x14:dxf>
          </x14:cfRule>
          <xm:sqref>N27</xm:sqref>
        </x14:conditionalFormatting>
        <x14:conditionalFormatting xmlns:xm="http://schemas.microsoft.com/office/excel/2006/main">
          <x14:cfRule type="expression" priority="841" id="{4CF4F4F0-C7CE-4D35-BFC6-31BEBFEB74CC}">
            <xm:f>$Z$8='Assessment Details'!$Q$23</xm:f>
            <x14:dxf>
              <font>
                <color theme="0"/>
              </font>
              <fill>
                <patternFill>
                  <bgColor theme="0"/>
                </patternFill>
              </fill>
            </x14:dxf>
          </x14:cfRule>
          <xm:sqref>X27:Y27</xm:sqref>
        </x14:conditionalFormatting>
        <x14:conditionalFormatting xmlns:xm="http://schemas.microsoft.com/office/excel/2006/main">
          <x14:cfRule type="expression" priority="840" id="{44CB9297-D4F2-4941-8CF7-161148476ADE}">
            <xm:f>$Z$8='Assessment Details'!$Q$23</xm:f>
            <x14:dxf>
              <border>
                <left style="thin">
                  <color theme="0"/>
                </left>
                <right style="thin">
                  <color theme="0"/>
                </right>
                <top style="thin">
                  <color theme="0"/>
                </top>
                <bottom style="thin">
                  <color theme="0"/>
                </bottom>
                <vertical/>
                <horizontal/>
              </border>
            </x14:dxf>
          </x14:cfRule>
          <xm:sqref>X27:Y27</xm:sqref>
        </x14:conditionalFormatting>
        <x14:conditionalFormatting xmlns:xm="http://schemas.microsoft.com/office/excel/2006/main">
          <x14:cfRule type="expression" priority="834" id="{A1124C2E-2CE1-4778-BC0F-B3175E84C11D}">
            <xm:f>$Z$8='Assessment Details'!$Q$23</xm:f>
            <x14:dxf>
              <font>
                <color theme="0"/>
              </font>
              <fill>
                <patternFill>
                  <bgColor theme="0"/>
                </patternFill>
              </fill>
            </x14:dxf>
          </x14:cfRule>
          <xm:sqref>U27</xm:sqref>
        </x14:conditionalFormatting>
        <x14:conditionalFormatting xmlns:xm="http://schemas.microsoft.com/office/excel/2006/main">
          <x14:cfRule type="expression" priority="833" id="{DFFD3404-113B-426E-8669-4775A0CD70DD}">
            <xm:f>$Z$8='Assessment Details'!$Q$23</xm:f>
            <x14:dxf>
              <border>
                <left style="thin">
                  <color theme="0"/>
                </left>
                <right style="thin">
                  <color theme="0"/>
                </right>
                <top style="thin">
                  <color theme="0"/>
                </top>
                <bottom style="thin">
                  <color theme="0"/>
                </bottom>
                <vertical/>
                <horizontal/>
              </border>
            </x14:dxf>
          </x14:cfRule>
          <xm:sqref>U27</xm:sqref>
        </x14:conditionalFormatting>
        <x14:conditionalFormatting xmlns:xm="http://schemas.microsoft.com/office/excel/2006/main">
          <x14:cfRule type="expression" priority="815" id="{5A63F7A5-EDFA-41B7-9A2B-2E3B5AC6501F}">
            <xm:f>$S$8='Assessment Details'!$Q$23</xm:f>
            <x14:dxf>
              <font>
                <color theme="0"/>
              </font>
              <fill>
                <patternFill>
                  <bgColor theme="0"/>
                </patternFill>
              </fill>
              <border>
                <vertical/>
                <horizontal/>
              </border>
            </x14:dxf>
          </x14:cfRule>
          <xm:sqref>N87</xm:sqref>
        </x14:conditionalFormatting>
        <x14:conditionalFormatting xmlns:xm="http://schemas.microsoft.com/office/excel/2006/main">
          <x14:cfRule type="expression" priority="814" id="{A2822926-0CDC-469D-810E-34D85549DB66}">
            <xm:f>$S$8='Assessment Details'!$Q$23</xm:f>
            <x14:dxf>
              <border>
                <left style="thin">
                  <color theme="0"/>
                </left>
                <right style="thin">
                  <color theme="0"/>
                </right>
                <top style="thin">
                  <color theme="0"/>
                </top>
                <bottom style="thin">
                  <color theme="0"/>
                </bottom>
                <vertical/>
                <horizontal/>
              </border>
            </x14:dxf>
          </x14:cfRule>
          <xm:sqref>N87</xm:sqref>
        </x14:conditionalFormatting>
        <x14:conditionalFormatting xmlns:xm="http://schemas.microsoft.com/office/excel/2006/main">
          <x14:cfRule type="expression" priority="813" id="{609FE846-1353-46BF-8A8E-52297A2A302F}">
            <xm:f>$Z$8='Assessment Details'!$Q$23</xm:f>
            <x14:dxf>
              <font>
                <color theme="0"/>
              </font>
              <fill>
                <patternFill>
                  <bgColor theme="0"/>
                </patternFill>
              </fill>
            </x14:dxf>
          </x14:cfRule>
          <xm:sqref>X87:Y87</xm:sqref>
        </x14:conditionalFormatting>
        <x14:conditionalFormatting xmlns:xm="http://schemas.microsoft.com/office/excel/2006/main">
          <x14:cfRule type="expression" priority="812" id="{813441FB-141C-4C98-AD40-F988DC41CADD}">
            <xm:f>$Z$8='Assessment Details'!$Q$23</xm:f>
            <x14:dxf>
              <border>
                <left style="thin">
                  <color theme="0"/>
                </left>
                <right style="thin">
                  <color theme="0"/>
                </right>
                <top style="thin">
                  <color theme="0"/>
                </top>
                <bottom style="thin">
                  <color theme="0"/>
                </bottom>
                <vertical/>
                <horizontal/>
              </border>
            </x14:dxf>
          </x14:cfRule>
          <xm:sqref>X87:Y87</xm:sqref>
        </x14:conditionalFormatting>
        <x14:conditionalFormatting xmlns:xm="http://schemas.microsoft.com/office/excel/2006/main">
          <x14:cfRule type="expression" priority="798" id="{7D01B325-A133-4A43-8630-C038C0769CE1}">
            <xm:f>$Z$8='Assessment Details'!$Q$23</xm:f>
            <x14:dxf>
              <font>
                <color theme="0"/>
              </font>
              <fill>
                <patternFill>
                  <bgColor theme="0"/>
                </patternFill>
              </fill>
            </x14:dxf>
          </x14:cfRule>
          <xm:sqref>U87</xm:sqref>
        </x14:conditionalFormatting>
        <x14:conditionalFormatting xmlns:xm="http://schemas.microsoft.com/office/excel/2006/main">
          <x14:cfRule type="expression" priority="797" id="{8C95A82D-2DB8-47B8-A590-797014BCF744}">
            <xm:f>$Z$8='Assessment Details'!$Q$23</xm:f>
            <x14:dxf>
              <border>
                <left style="thin">
                  <color theme="0"/>
                </left>
                <right style="thin">
                  <color theme="0"/>
                </right>
                <top style="thin">
                  <color theme="0"/>
                </top>
                <bottom style="thin">
                  <color theme="0"/>
                </bottom>
                <vertical/>
                <horizontal/>
              </border>
            </x14:dxf>
          </x14:cfRule>
          <xm:sqref>U87</xm:sqref>
        </x14:conditionalFormatting>
        <x14:conditionalFormatting xmlns:xm="http://schemas.microsoft.com/office/excel/2006/main">
          <x14:cfRule type="expression" priority="780" id="{69C310A9-BDC7-4B47-82CD-FC12E23ACA02}">
            <xm:f>$S$8='Assessment Details'!$Q$23</xm:f>
            <x14:dxf>
              <font>
                <color theme="0"/>
              </font>
              <fill>
                <patternFill>
                  <bgColor theme="0"/>
                </patternFill>
              </fill>
              <border>
                <vertical/>
                <horizontal/>
              </border>
            </x14:dxf>
          </x14:cfRule>
          <xm:sqref>Q101:R101</xm:sqref>
        </x14:conditionalFormatting>
        <x14:conditionalFormatting xmlns:xm="http://schemas.microsoft.com/office/excel/2006/main">
          <x14:cfRule type="expression" priority="779" id="{8866C9EC-AA27-438F-8DEF-B357553BAA70}">
            <xm:f>$S$8='Assessment Details'!$Q$23</xm:f>
            <x14:dxf>
              <border>
                <left style="thin">
                  <color theme="0"/>
                </left>
                <right style="thin">
                  <color theme="0"/>
                </right>
                <top style="thin">
                  <color theme="0"/>
                </top>
                <bottom style="thin">
                  <color theme="0"/>
                </bottom>
                <vertical/>
                <horizontal/>
              </border>
            </x14:dxf>
          </x14:cfRule>
          <xm:sqref>Q101:R101</xm:sqref>
        </x14:conditionalFormatting>
        <x14:conditionalFormatting xmlns:xm="http://schemas.microsoft.com/office/excel/2006/main">
          <x14:cfRule type="expression" priority="778" id="{369EE6F7-B847-4C15-9E39-4DF832F655E4}">
            <xm:f>$Z$8='Assessment Details'!$Q$23</xm:f>
            <x14:dxf>
              <font>
                <color theme="0"/>
              </font>
              <fill>
                <patternFill>
                  <bgColor theme="0"/>
                </patternFill>
              </fill>
            </x14:dxf>
          </x14:cfRule>
          <xm:sqref>X101:Y101</xm:sqref>
        </x14:conditionalFormatting>
        <x14:conditionalFormatting xmlns:xm="http://schemas.microsoft.com/office/excel/2006/main">
          <x14:cfRule type="expression" priority="777" id="{DA9FEB1E-44CE-403C-8B7D-2BDCE1D252BF}">
            <xm:f>$Z$8='Assessment Details'!$Q$23</xm:f>
            <x14:dxf>
              <border>
                <left style="thin">
                  <color theme="0"/>
                </left>
                <right style="thin">
                  <color theme="0"/>
                </right>
                <top style="thin">
                  <color theme="0"/>
                </top>
                <bottom style="thin">
                  <color theme="0"/>
                </bottom>
                <vertical/>
                <horizontal/>
              </border>
            </x14:dxf>
          </x14:cfRule>
          <xm:sqref>X101:Y101</xm:sqref>
        </x14:conditionalFormatting>
        <x14:conditionalFormatting xmlns:xm="http://schemas.microsoft.com/office/excel/2006/main">
          <x14:cfRule type="expression" priority="763" id="{2ACB8806-BB00-4EEF-9AEF-4CAF9A1EE119}">
            <xm:f>$S$8='Assessment Details'!$Q$23</xm:f>
            <x14:dxf>
              <font>
                <color theme="0"/>
              </font>
              <fill>
                <patternFill>
                  <bgColor theme="0"/>
                </patternFill>
              </fill>
              <border>
                <vertical/>
                <horizontal/>
              </border>
            </x14:dxf>
          </x14:cfRule>
          <xm:sqref>N101</xm:sqref>
        </x14:conditionalFormatting>
        <x14:conditionalFormatting xmlns:xm="http://schemas.microsoft.com/office/excel/2006/main">
          <x14:cfRule type="expression" priority="762" id="{F31C36FB-66C8-460F-8266-75E37A5CC967}">
            <xm:f>$S$8='Assessment Details'!$Q$23</xm:f>
            <x14:dxf>
              <border>
                <left style="thin">
                  <color theme="0"/>
                </left>
                <right style="thin">
                  <color theme="0"/>
                </right>
                <top style="thin">
                  <color theme="0"/>
                </top>
                <bottom style="thin">
                  <color theme="0"/>
                </bottom>
                <vertical/>
                <horizontal/>
              </border>
            </x14:dxf>
          </x14:cfRule>
          <xm:sqref>N101</xm:sqref>
        </x14:conditionalFormatting>
        <x14:conditionalFormatting xmlns:xm="http://schemas.microsoft.com/office/excel/2006/main">
          <x14:cfRule type="expression" priority="759" id="{3D434EE4-339E-4213-A321-7B3E76D92597}">
            <xm:f>$Z$8='Assessment Details'!$Q$23</xm:f>
            <x14:dxf>
              <font>
                <color theme="0"/>
              </font>
              <fill>
                <patternFill>
                  <bgColor theme="0"/>
                </patternFill>
              </fill>
            </x14:dxf>
          </x14:cfRule>
          <xm:sqref>U101</xm:sqref>
        </x14:conditionalFormatting>
        <x14:conditionalFormatting xmlns:xm="http://schemas.microsoft.com/office/excel/2006/main">
          <x14:cfRule type="expression" priority="758" id="{983395C1-0379-4A53-B586-C7BB4E5634B8}">
            <xm:f>$Z$8='Assessment Details'!$Q$23</xm:f>
            <x14:dxf>
              <border>
                <left style="thin">
                  <color theme="0"/>
                </left>
                <right style="thin">
                  <color theme="0"/>
                </right>
                <top style="thin">
                  <color theme="0"/>
                </top>
                <bottom style="thin">
                  <color theme="0"/>
                </bottom>
                <vertical/>
                <horizontal/>
              </border>
            </x14:dxf>
          </x14:cfRule>
          <xm:sqref>U101</xm:sqref>
        </x14:conditionalFormatting>
        <x14:conditionalFormatting xmlns:xm="http://schemas.microsoft.com/office/excel/2006/main">
          <x14:cfRule type="expression" priority="748" id="{A8780FD0-5326-4D6A-AA5A-EF2B796DECD5}">
            <xm:f>$Z$8='Assessment Details'!$Q$23</xm:f>
            <x14:dxf>
              <font>
                <color theme="0"/>
              </font>
              <fill>
                <patternFill>
                  <bgColor theme="0"/>
                </patternFill>
              </fill>
            </x14:dxf>
          </x14:cfRule>
          <xm:sqref>X16:Y16</xm:sqref>
        </x14:conditionalFormatting>
        <x14:conditionalFormatting xmlns:xm="http://schemas.microsoft.com/office/excel/2006/main">
          <x14:cfRule type="expression" priority="747" id="{7D95453C-5677-4440-BFDC-5F1E0D951658}">
            <xm:f>$Z$8='Assessment Details'!$Q$23</xm:f>
            <x14:dxf>
              <border>
                <left style="thin">
                  <color theme="0"/>
                </left>
                <right style="thin">
                  <color theme="0"/>
                </right>
                <top style="thin">
                  <color theme="0"/>
                </top>
                <bottom style="thin">
                  <color theme="0"/>
                </bottom>
                <vertical/>
                <horizontal/>
              </border>
            </x14:dxf>
          </x14:cfRule>
          <xm:sqref>X16:Y16</xm:sqref>
        </x14:conditionalFormatting>
        <x14:conditionalFormatting xmlns:xm="http://schemas.microsoft.com/office/excel/2006/main">
          <x14:cfRule type="expression" priority="743" id="{FCAF0747-B7DD-45B9-9D71-FD5596F44912}">
            <xm:f>$Z$8='Assessment Details'!$Q$23</xm:f>
            <x14:dxf>
              <font>
                <color theme="0"/>
              </font>
              <fill>
                <patternFill>
                  <bgColor theme="0"/>
                </patternFill>
              </fill>
            </x14:dxf>
          </x14:cfRule>
          <xm:sqref>U16</xm:sqref>
        </x14:conditionalFormatting>
        <x14:conditionalFormatting xmlns:xm="http://schemas.microsoft.com/office/excel/2006/main">
          <x14:cfRule type="expression" priority="742" id="{8A10B796-3553-48A3-A8D4-D6C07CC5F03D}">
            <xm:f>$Z$8='Assessment Details'!$Q$23</xm:f>
            <x14:dxf>
              <border>
                <left style="thin">
                  <color theme="0"/>
                </left>
                <right style="thin">
                  <color theme="0"/>
                </right>
                <top style="thin">
                  <color theme="0"/>
                </top>
                <bottom style="thin">
                  <color theme="0"/>
                </bottom>
                <vertical/>
                <horizontal/>
              </border>
            </x14:dxf>
          </x14:cfRule>
          <xm:sqref>U16</xm:sqref>
        </x14:conditionalFormatting>
        <x14:conditionalFormatting xmlns:xm="http://schemas.microsoft.com/office/excel/2006/main">
          <x14:cfRule type="expression" priority="711" id="{1814D816-8456-4F4E-A505-94BF373FFA61}">
            <xm:f>$S$8='Assessment Details'!$Q$23</xm:f>
            <x14:dxf>
              <font>
                <color theme="0"/>
              </font>
              <fill>
                <patternFill>
                  <bgColor theme="0"/>
                </patternFill>
              </fill>
              <border>
                <vertical/>
                <horizontal/>
              </border>
            </x14:dxf>
          </x14:cfRule>
          <xm:sqref>P37:P38</xm:sqref>
        </x14:conditionalFormatting>
        <x14:conditionalFormatting xmlns:xm="http://schemas.microsoft.com/office/excel/2006/main">
          <x14:cfRule type="expression" priority="710" id="{8648F252-ED19-4266-80EA-94115D554B1E}">
            <xm:f>$S$8='Assessment Details'!$Q$23</xm:f>
            <x14:dxf>
              <border>
                <left style="thin">
                  <color theme="0"/>
                </left>
                <right style="thin">
                  <color theme="0"/>
                </right>
                <top style="thin">
                  <color theme="0"/>
                </top>
                <bottom style="thin">
                  <color theme="0"/>
                </bottom>
                <vertical/>
                <horizontal/>
              </border>
            </x14:dxf>
          </x14:cfRule>
          <xm:sqref>P37:P38</xm:sqref>
        </x14:conditionalFormatting>
        <x14:conditionalFormatting xmlns:xm="http://schemas.microsoft.com/office/excel/2006/main">
          <x14:cfRule type="expression" priority="704" id="{9A0ECD73-169E-4688-A925-E62F5A4942F3}">
            <xm:f>$S$8='Assessment Details'!$Q$23</xm:f>
            <x14:dxf>
              <font>
                <color theme="0"/>
              </font>
              <fill>
                <patternFill>
                  <bgColor theme="0"/>
                </patternFill>
              </fill>
              <border>
                <vertical/>
                <horizontal/>
              </border>
            </x14:dxf>
          </x14:cfRule>
          <xm:sqref>P65:P66</xm:sqref>
        </x14:conditionalFormatting>
        <x14:conditionalFormatting xmlns:xm="http://schemas.microsoft.com/office/excel/2006/main">
          <x14:cfRule type="expression" priority="703" id="{EBE9A871-3F99-4979-A4F4-2335F98EF000}">
            <xm:f>$S$8='Assessment Details'!$Q$23</xm:f>
            <x14:dxf>
              <border>
                <left style="thin">
                  <color theme="0"/>
                </left>
                <right style="thin">
                  <color theme="0"/>
                </right>
                <top style="thin">
                  <color theme="0"/>
                </top>
                <bottom style="thin">
                  <color theme="0"/>
                </bottom>
                <vertical/>
                <horizontal/>
              </border>
            </x14:dxf>
          </x14:cfRule>
          <xm:sqref>P65:P66</xm:sqref>
        </x14:conditionalFormatting>
        <x14:conditionalFormatting xmlns:xm="http://schemas.microsoft.com/office/excel/2006/main">
          <x14:cfRule type="expression" priority="697" id="{88731133-85C1-497D-8440-7304B836D6C7}">
            <xm:f>$S$8='Assessment Details'!$Q$23</xm:f>
            <x14:dxf>
              <font>
                <color theme="0"/>
              </font>
              <fill>
                <patternFill>
                  <bgColor theme="0"/>
                </patternFill>
              </fill>
              <border>
                <vertical/>
                <horizontal/>
              </border>
            </x14:dxf>
          </x14:cfRule>
          <xm:sqref>P95:P96</xm:sqref>
        </x14:conditionalFormatting>
        <x14:conditionalFormatting xmlns:xm="http://schemas.microsoft.com/office/excel/2006/main">
          <x14:cfRule type="expression" priority="696" id="{83A9A1C1-341F-4085-939C-5EB00F0A4EFD}">
            <xm:f>$S$8='Assessment Details'!$Q$23</xm:f>
            <x14:dxf>
              <border>
                <left style="thin">
                  <color theme="0"/>
                </left>
                <right style="thin">
                  <color theme="0"/>
                </right>
                <top style="thin">
                  <color theme="0"/>
                </top>
                <bottom style="thin">
                  <color theme="0"/>
                </bottom>
                <vertical/>
                <horizontal/>
              </border>
            </x14:dxf>
          </x14:cfRule>
          <xm:sqref>P95:P96</xm:sqref>
        </x14:conditionalFormatting>
        <x14:conditionalFormatting xmlns:xm="http://schemas.microsoft.com/office/excel/2006/main">
          <x14:cfRule type="expression" priority="690" id="{5736BA94-FE01-46BA-9EE9-706893E950AD}">
            <xm:f>$S$8='Assessment Details'!$Q$23</xm:f>
            <x14:dxf>
              <font>
                <color theme="0"/>
              </font>
              <fill>
                <patternFill>
                  <bgColor theme="0"/>
                </patternFill>
              </fill>
              <border>
                <vertical/>
                <horizontal/>
              </border>
            </x14:dxf>
          </x14:cfRule>
          <xm:sqref>P104:P105</xm:sqref>
        </x14:conditionalFormatting>
        <x14:conditionalFormatting xmlns:xm="http://schemas.microsoft.com/office/excel/2006/main">
          <x14:cfRule type="expression" priority="689" id="{B287D32D-09AC-4542-908E-5C03F7DF3000}">
            <xm:f>$S$8='Assessment Details'!$Q$23</xm:f>
            <x14:dxf>
              <border>
                <left style="thin">
                  <color theme="0"/>
                </left>
                <right style="thin">
                  <color theme="0"/>
                </right>
                <top style="thin">
                  <color theme="0"/>
                </top>
                <bottom style="thin">
                  <color theme="0"/>
                </bottom>
                <vertical/>
                <horizontal/>
              </border>
            </x14:dxf>
          </x14:cfRule>
          <xm:sqref>P104:P105</xm:sqref>
        </x14:conditionalFormatting>
        <x14:conditionalFormatting xmlns:xm="http://schemas.microsoft.com/office/excel/2006/main">
          <x14:cfRule type="expression" priority="683" id="{BAEC9280-F404-4074-ACAF-4F63E3923BED}">
            <xm:f>$S$8='Assessment Details'!$Q$23</xm:f>
            <x14:dxf>
              <font>
                <color theme="0"/>
              </font>
              <fill>
                <patternFill>
                  <bgColor theme="0"/>
                </patternFill>
              </fill>
              <border>
                <vertical/>
                <horizontal/>
              </border>
            </x14:dxf>
          </x14:cfRule>
          <xm:sqref>P118:P119</xm:sqref>
        </x14:conditionalFormatting>
        <x14:conditionalFormatting xmlns:xm="http://schemas.microsoft.com/office/excel/2006/main">
          <x14:cfRule type="expression" priority="682" id="{B72FF84F-18DD-4E5D-AA5C-62AF8BEB20C0}">
            <xm:f>$S$8='Assessment Details'!$Q$23</xm:f>
            <x14:dxf>
              <border>
                <left style="thin">
                  <color theme="0"/>
                </left>
                <right style="thin">
                  <color theme="0"/>
                </right>
                <top style="thin">
                  <color theme="0"/>
                </top>
                <bottom style="thin">
                  <color theme="0"/>
                </bottom>
                <vertical/>
                <horizontal/>
              </border>
            </x14:dxf>
          </x14:cfRule>
          <xm:sqref>P118:P119</xm:sqref>
        </x14:conditionalFormatting>
        <x14:conditionalFormatting xmlns:xm="http://schemas.microsoft.com/office/excel/2006/main">
          <x14:cfRule type="expression" priority="676" id="{182A97A1-8919-4F98-85C4-E0C267AD6962}">
            <xm:f>$S$8='Assessment Details'!$Q$23</xm:f>
            <x14:dxf>
              <font>
                <color theme="0"/>
              </font>
              <fill>
                <patternFill>
                  <bgColor theme="0"/>
                </patternFill>
              </fill>
              <border>
                <vertical/>
                <horizontal/>
              </border>
            </x14:dxf>
          </x14:cfRule>
          <xm:sqref>P148:P149</xm:sqref>
        </x14:conditionalFormatting>
        <x14:conditionalFormatting xmlns:xm="http://schemas.microsoft.com/office/excel/2006/main">
          <x14:cfRule type="expression" priority="675" id="{D469E189-23D1-496D-8C4E-E6AA0AAB74A2}">
            <xm:f>$S$8='Assessment Details'!$Q$23</xm:f>
            <x14:dxf>
              <border>
                <left style="thin">
                  <color theme="0"/>
                </left>
                <right style="thin">
                  <color theme="0"/>
                </right>
                <top style="thin">
                  <color theme="0"/>
                </top>
                <bottom style="thin">
                  <color theme="0"/>
                </bottom>
                <vertical/>
                <horizontal/>
              </border>
            </x14:dxf>
          </x14:cfRule>
          <xm:sqref>P148:P149</xm:sqref>
        </x14:conditionalFormatting>
        <x14:conditionalFormatting xmlns:xm="http://schemas.microsoft.com/office/excel/2006/main">
          <x14:cfRule type="expression" priority="669" id="{288F7C53-6249-4956-B63F-F9F31F7E07EB}">
            <xm:f>$S$8='Assessment Details'!$Q$23</xm:f>
            <x14:dxf>
              <font>
                <color theme="0"/>
              </font>
              <fill>
                <patternFill>
                  <bgColor theme="0"/>
                </patternFill>
              </fill>
              <border>
                <vertical/>
                <horizontal/>
              </border>
            </x14:dxf>
          </x14:cfRule>
          <xm:sqref>P163:P164</xm:sqref>
        </x14:conditionalFormatting>
        <x14:conditionalFormatting xmlns:xm="http://schemas.microsoft.com/office/excel/2006/main">
          <x14:cfRule type="expression" priority="668" id="{2C5498B1-8C8E-47D5-A2F1-8DA973C74463}">
            <xm:f>$S$8='Assessment Details'!$Q$23</xm:f>
            <x14:dxf>
              <border>
                <left style="thin">
                  <color theme="0"/>
                </left>
                <right style="thin">
                  <color theme="0"/>
                </right>
                <top style="thin">
                  <color theme="0"/>
                </top>
                <bottom style="thin">
                  <color theme="0"/>
                </bottom>
                <vertical/>
                <horizontal/>
              </border>
            </x14:dxf>
          </x14:cfRule>
          <xm:sqref>P163:P164</xm:sqref>
        </x14:conditionalFormatting>
        <x14:conditionalFormatting xmlns:xm="http://schemas.microsoft.com/office/excel/2006/main">
          <x14:cfRule type="expression" priority="662" id="{74C1B7DC-0D98-4E3D-99BC-38306C50C7CC}">
            <xm:f>$S$8='Assessment Details'!$Q$23</xm:f>
            <x14:dxf>
              <font>
                <color theme="0"/>
              </font>
              <fill>
                <patternFill>
                  <bgColor theme="0"/>
                </patternFill>
              </fill>
              <border>
                <vertical/>
                <horizontal/>
              </border>
            </x14:dxf>
          </x14:cfRule>
          <xm:sqref>P195:P196</xm:sqref>
        </x14:conditionalFormatting>
        <x14:conditionalFormatting xmlns:xm="http://schemas.microsoft.com/office/excel/2006/main">
          <x14:cfRule type="expression" priority="661" id="{7ED43190-5314-425F-9359-B4E182C97424}">
            <xm:f>$S$8='Assessment Details'!$Q$23</xm:f>
            <x14:dxf>
              <border>
                <left style="thin">
                  <color theme="0"/>
                </left>
                <right style="thin">
                  <color theme="0"/>
                </right>
                <top style="thin">
                  <color theme="0"/>
                </top>
                <bottom style="thin">
                  <color theme="0"/>
                </bottom>
                <vertical/>
                <horizontal/>
              </border>
            </x14:dxf>
          </x14:cfRule>
          <xm:sqref>P195:P196</xm:sqref>
        </x14:conditionalFormatting>
        <x14:conditionalFormatting xmlns:xm="http://schemas.microsoft.com/office/excel/2006/main">
          <x14:cfRule type="expression" priority="655" id="{4A98C8D9-E7DE-435C-A48A-376A9AF70F60}">
            <xm:f>$S$8='Assessment Details'!$Q$23</xm:f>
            <x14:dxf>
              <font>
                <color theme="0"/>
              </font>
              <fill>
                <patternFill>
                  <bgColor theme="0"/>
                </patternFill>
              </fill>
              <border>
                <vertical/>
                <horizontal/>
              </border>
            </x14:dxf>
          </x14:cfRule>
          <xm:sqref>P212:P213</xm:sqref>
        </x14:conditionalFormatting>
        <x14:conditionalFormatting xmlns:xm="http://schemas.microsoft.com/office/excel/2006/main">
          <x14:cfRule type="expression" priority="654" id="{9A98555B-286B-4BCF-80C8-2808A450F13B}">
            <xm:f>$S$8='Assessment Details'!$Q$23</xm:f>
            <x14:dxf>
              <border>
                <left style="thin">
                  <color theme="0"/>
                </left>
                <right style="thin">
                  <color theme="0"/>
                </right>
                <top style="thin">
                  <color theme="0"/>
                </top>
                <bottom style="thin">
                  <color theme="0"/>
                </bottom>
                <vertical/>
                <horizontal/>
              </border>
            </x14:dxf>
          </x14:cfRule>
          <xm:sqref>P212:P213</xm:sqref>
        </x14:conditionalFormatting>
        <x14:conditionalFormatting xmlns:xm="http://schemas.microsoft.com/office/excel/2006/main">
          <x14:cfRule type="expression" priority="626" id="{8549E820-C377-48FD-A48B-8593111D4F8A}">
            <xm:f>$S$8='Assessment Details'!$Q$23</xm:f>
            <x14:dxf>
              <font>
                <color theme="0"/>
              </font>
              <fill>
                <patternFill>
                  <bgColor theme="0"/>
                </patternFill>
              </fill>
              <border>
                <vertical/>
                <horizontal/>
              </border>
            </x14:dxf>
          </x14:cfRule>
          <xm:sqref>W37:W38</xm:sqref>
        </x14:conditionalFormatting>
        <x14:conditionalFormatting xmlns:xm="http://schemas.microsoft.com/office/excel/2006/main">
          <x14:cfRule type="expression" priority="625" id="{3A81CF31-E8DE-433C-BBAB-BC4BC823E4CF}">
            <xm:f>$S$8='Assessment Details'!$Q$23</xm:f>
            <x14:dxf>
              <border>
                <left style="thin">
                  <color theme="0"/>
                </left>
                <right style="thin">
                  <color theme="0"/>
                </right>
                <top style="thin">
                  <color theme="0"/>
                </top>
                <bottom style="thin">
                  <color theme="0"/>
                </bottom>
                <vertical/>
                <horizontal/>
              </border>
            </x14:dxf>
          </x14:cfRule>
          <xm:sqref>W37:W38</xm:sqref>
        </x14:conditionalFormatting>
        <x14:conditionalFormatting xmlns:xm="http://schemas.microsoft.com/office/excel/2006/main">
          <x14:cfRule type="expression" priority="619" id="{56AD95EA-5B74-4280-B8EE-32D6E0A2A840}">
            <xm:f>$S$8='Assessment Details'!$Q$23</xm:f>
            <x14:dxf>
              <font>
                <color theme="0"/>
              </font>
              <fill>
                <patternFill>
                  <bgColor theme="0"/>
                </patternFill>
              </fill>
              <border>
                <vertical/>
                <horizontal/>
              </border>
            </x14:dxf>
          </x14:cfRule>
          <xm:sqref>W65:W66</xm:sqref>
        </x14:conditionalFormatting>
        <x14:conditionalFormatting xmlns:xm="http://schemas.microsoft.com/office/excel/2006/main">
          <x14:cfRule type="expression" priority="618" id="{B29C4BCE-0079-496D-8EDC-BDB4F14A6BE5}">
            <xm:f>$S$8='Assessment Details'!$Q$23</xm:f>
            <x14:dxf>
              <border>
                <left style="thin">
                  <color theme="0"/>
                </left>
                <right style="thin">
                  <color theme="0"/>
                </right>
                <top style="thin">
                  <color theme="0"/>
                </top>
                <bottom style="thin">
                  <color theme="0"/>
                </bottom>
                <vertical/>
                <horizontal/>
              </border>
            </x14:dxf>
          </x14:cfRule>
          <xm:sqref>W65:W66</xm:sqref>
        </x14:conditionalFormatting>
        <x14:conditionalFormatting xmlns:xm="http://schemas.microsoft.com/office/excel/2006/main">
          <x14:cfRule type="expression" priority="612" id="{703C8C6D-B206-4EA6-8EF5-42C47E7733B6}">
            <xm:f>$S$8='Assessment Details'!$Q$23</xm:f>
            <x14:dxf>
              <font>
                <color theme="0"/>
              </font>
              <fill>
                <patternFill>
                  <bgColor theme="0"/>
                </patternFill>
              </fill>
              <border>
                <vertical/>
                <horizontal/>
              </border>
            </x14:dxf>
          </x14:cfRule>
          <xm:sqref>W95:W96</xm:sqref>
        </x14:conditionalFormatting>
        <x14:conditionalFormatting xmlns:xm="http://schemas.microsoft.com/office/excel/2006/main">
          <x14:cfRule type="expression" priority="611" id="{FCC3926C-CE4D-447F-B735-42A02E10F3CC}">
            <xm:f>$S$8='Assessment Details'!$Q$23</xm:f>
            <x14:dxf>
              <border>
                <left style="thin">
                  <color theme="0"/>
                </left>
                <right style="thin">
                  <color theme="0"/>
                </right>
                <top style="thin">
                  <color theme="0"/>
                </top>
                <bottom style="thin">
                  <color theme="0"/>
                </bottom>
                <vertical/>
                <horizontal/>
              </border>
            </x14:dxf>
          </x14:cfRule>
          <xm:sqref>W95:W96</xm:sqref>
        </x14:conditionalFormatting>
        <x14:conditionalFormatting xmlns:xm="http://schemas.microsoft.com/office/excel/2006/main">
          <x14:cfRule type="expression" priority="605" id="{34E6D511-70AB-4E9D-B5C3-3CA4966EA31C}">
            <xm:f>$S$8='Assessment Details'!$Q$23</xm:f>
            <x14:dxf>
              <font>
                <color theme="0"/>
              </font>
              <fill>
                <patternFill>
                  <bgColor theme="0"/>
                </patternFill>
              </fill>
              <border>
                <vertical/>
                <horizontal/>
              </border>
            </x14:dxf>
          </x14:cfRule>
          <xm:sqref>W104:W105</xm:sqref>
        </x14:conditionalFormatting>
        <x14:conditionalFormatting xmlns:xm="http://schemas.microsoft.com/office/excel/2006/main">
          <x14:cfRule type="expression" priority="604" id="{B7DC1EBD-D6C5-4B8C-8B3A-9E4F0FEC1CB8}">
            <xm:f>$S$8='Assessment Details'!$Q$23</xm:f>
            <x14:dxf>
              <border>
                <left style="thin">
                  <color theme="0"/>
                </left>
                <right style="thin">
                  <color theme="0"/>
                </right>
                <top style="thin">
                  <color theme="0"/>
                </top>
                <bottom style="thin">
                  <color theme="0"/>
                </bottom>
                <vertical/>
                <horizontal/>
              </border>
            </x14:dxf>
          </x14:cfRule>
          <xm:sqref>W104:W105</xm:sqref>
        </x14:conditionalFormatting>
        <x14:conditionalFormatting xmlns:xm="http://schemas.microsoft.com/office/excel/2006/main">
          <x14:cfRule type="expression" priority="598" id="{F94B71A7-BD36-4236-A6DC-1AAF0A79DA9C}">
            <xm:f>$S$8='Assessment Details'!$Q$23</xm:f>
            <x14:dxf>
              <font>
                <color theme="0"/>
              </font>
              <fill>
                <patternFill>
                  <bgColor theme="0"/>
                </patternFill>
              </fill>
              <border>
                <vertical/>
                <horizontal/>
              </border>
            </x14:dxf>
          </x14:cfRule>
          <xm:sqref>W118:W119</xm:sqref>
        </x14:conditionalFormatting>
        <x14:conditionalFormatting xmlns:xm="http://schemas.microsoft.com/office/excel/2006/main">
          <x14:cfRule type="expression" priority="597" id="{33E3661B-D345-4D41-B2F3-A7D4897D48C9}">
            <xm:f>$S$8='Assessment Details'!$Q$23</xm:f>
            <x14:dxf>
              <border>
                <left style="thin">
                  <color theme="0"/>
                </left>
                <right style="thin">
                  <color theme="0"/>
                </right>
                <top style="thin">
                  <color theme="0"/>
                </top>
                <bottom style="thin">
                  <color theme="0"/>
                </bottom>
                <vertical/>
                <horizontal/>
              </border>
            </x14:dxf>
          </x14:cfRule>
          <xm:sqref>W118:W119</xm:sqref>
        </x14:conditionalFormatting>
        <x14:conditionalFormatting xmlns:xm="http://schemas.microsoft.com/office/excel/2006/main">
          <x14:cfRule type="expression" priority="591" id="{C86AD676-9B60-41E2-B9D1-2A4407514768}">
            <xm:f>$S$8='Assessment Details'!$Q$23</xm:f>
            <x14:dxf>
              <font>
                <color theme="0"/>
              </font>
              <fill>
                <patternFill>
                  <bgColor theme="0"/>
                </patternFill>
              </fill>
              <border>
                <vertical/>
                <horizontal/>
              </border>
            </x14:dxf>
          </x14:cfRule>
          <xm:sqref>W148:W149</xm:sqref>
        </x14:conditionalFormatting>
        <x14:conditionalFormatting xmlns:xm="http://schemas.microsoft.com/office/excel/2006/main">
          <x14:cfRule type="expression" priority="590" id="{B009EFF1-5C4E-404B-97CB-A75E98C24251}">
            <xm:f>$S$8='Assessment Details'!$Q$23</xm:f>
            <x14:dxf>
              <border>
                <left style="thin">
                  <color theme="0"/>
                </left>
                <right style="thin">
                  <color theme="0"/>
                </right>
                <top style="thin">
                  <color theme="0"/>
                </top>
                <bottom style="thin">
                  <color theme="0"/>
                </bottom>
                <vertical/>
                <horizontal/>
              </border>
            </x14:dxf>
          </x14:cfRule>
          <xm:sqref>W148:W149</xm:sqref>
        </x14:conditionalFormatting>
        <x14:conditionalFormatting xmlns:xm="http://schemas.microsoft.com/office/excel/2006/main">
          <x14:cfRule type="expression" priority="584" id="{6323C794-8A7C-4992-8E90-CAF3FDDFA08D}">
            <xm:f>$S$8='Assessment Details'!$Q$23</xm:f>
            <x14:dxf>
              <font>
                <color theme="0"/>
              </font>
              <fill>
                <patternFill>
                  <bgColor theme="0"/>
                </patternFill>
              </fill>
              <border>
                <vertical/>
                <horizontal/>
              </border>
            </x14:dxf>
          </x14:cfRule>
          <xm:sqref>W163:W164</xm:sqref>
        </x14:conditionalFormatting>
        <x14:conditionalFormatting xmlns:xm="http://schemas.microsoft.com/office/excel/2006/main">
          <x14:cfRule type="expression" priority="583" id="{F0873F40-3A68-4411-B534-637CE6F9DFA3}">
            <xm:f>$S$8='Assessment Details'!$Q$23</xm:f>
            <x14:dxf>
              <border>
                <left style="thin">
                  <color theme="0"/>
                </left>
                <right style="thin">
                  <color theme="0"/>
                </right>
                <top style="thin">
                  <color theme="0"/>
                </top>
                <bottom style="thin">
                  <color theme="0"/>
                </bottom>
                <vertical/>
                <horizontal/>
              </border>
            </x14:dxf>
          </x14:cfRule>
          <xm:sqref>W163:W164</xm:sqref>
        </x14:conditionalFormatting>
        <x14:conditionalFormatting xmlns:xm="http://schemas.microsoft.com/office/excel/2006/main">
          <x14:cfRule type="expression" priority="577" id="{FCD05809-E385-43B1-BEE9-32BBF65D574F}">
            <xm:f>$S$8='Assessment Details'!$Q$23</xm:f>
            <x14:dxf>
              <font>
                <color theme="0"/>
              </font>
              <fill>
                <patternFill>
                  <bgColor theme="0"/>
                </patternFill>
              </fill>
              <border>
                <vertical/>
                <horizontal/>
              </border>
            </x14:dxf>
          </x14:cfRule>
          <xm:sqref>W195:W196</xm:sqref>
        </x14:conditionalFormatting>
        <x14:conditionalFormatting xmlns:xm="http://schemas.microsoft.com/office/excel/2006/main">
          <x14:cfRule type="expression" priority="576" id="{7FDAF1A2-2419-4B82-B8EF-8158B62BB591}">
            <xm:f>$S$8='Assessment Details'!$Q$23</xm:f>
            <x14:dxf>
              <border>
                <left style="thin">
                  <color theme="0"/>
                </left>
                <right style="thin">
                  <color theme="0"/>
                </right>
                <top style="thin">
                  <color theme="0"/>
                </top>
                <bottom style="thin">
                  <color theme="0"/>
                </bottom>
                <vertical/>
                <horizontal/>
              </border>
            </x14:dxf>
          </x14:cfRule>
          <xm:sqref>W195:W196</xm:sqref>
        </x14:conditionalFormatting>
        <x14:conditionalFormatting xmlns:xm="http://schemas.microsoft.com/office/excel/2006/main">
          <x14:cfRule type="expression" priority="570" id="{A07BA65D-7D48-4F65-A996-E0325805E0BB}">
            <xm:f>$S$8='Assessment Details'!$Q$23</xm:f>
            <x14:dxf>
              <font>
                <color theme="0"/>
              </font>
              <fill>
                <patternFill>
                  <bgColor theme="0"/>
                </patternFill>
              </fill>
              <border>
                <vertical/>
                <horizontal/>
              </border>
            </x14:dxf>
          </x14:cfRule>
          <xm:sqref>W212:W213</xm:sqref>
        </x14:conditionalFormatting>
        <x14:conditionalFormatting xmlns:xm="http://schemas.microsoft.com/office/excel/2006/main">
          <x14:cfRule type="expression" priority="569" id="{E1516C20-E913-452D-8F9C-E50184B72040}">
            <xm:f>$S$8='Assessment Details'!$Q$23</xm:f>
            <x14:dxf>
              <border>
                <left style="thin">
                  <color theme="0"/>
                </left>
                <right style="thin">
                  <color theme="0"/>
                </right>
                <top style="thin">
                  <color theme="0"/>
                </top>
                <bottom style="thin">
                  <color theme="0"/>
                </bottom>
                <vertical/>
                <horizontal/>
              </border>
            </x14:dxf>
          </x14:cfRule>
          <xm:sqref>W212:W213</xm:sqref>
        </x14:conditionalFormatting>
        <x14:conditionalFormatting xmlns:xm="http://schemas.microsoft.com/office/excel/2006/main">
          <x14:cfRule type="expression" priority="5355" id="{1A60305C-32B7-4D4F-9804-69A16324B9A7}">
            <xm:f>$S$8='Assessment Details'!$Q$23</xm:f>
            <x14:dxf>
              <border>
                <vertical/>
                <horizontal/>
              </border>
            </x14:dxf>
          </x14:cfRule>
          <xm:sqref>N9:S9</xm:sqref>
        </x14:conditionalFormatting>
        <x14:conditionalFormatting xmlns:xm="http://schemas.microsoft.com/office/excel/2006/main">
          <x14:cfRule type="expression" priority="301" id="{316732AE-0C92-4BAF-87A4-73920F4C29A8}">
            <xm:f>$S$8='Assessment Details'!$Q$23</xm:f>
            <x14:dxf>
              <font>
                <color theme="0"/>
              </font>
              <fill>
                <patternFill>
                  <bgColor theme="0"/>
                </patternFill>
              </fill>
              <border>
                <vertical/>
                <horizontal/>
              </border>
            </x14:dxf>
          </x14:cfRule>
          <xm:sqref>N40:N41</xm:sqref>
        </x14:conditionalFormatting>
        <x14:conditionalFormatting xmlns:xm="http://schemas.microsoft.com/office/excel/2006/main">
          <x14:cfRule type="expression" priority="300" id="{349D7929-A46C-4B01-9FA8-9196D94CB8E9}">
            <xm:f>$S$8='Assessment Details'!$Q$23</xm:f>
            <x14:dxf>
              <border>
                <left style="thin">
                  <color theme="0"/>
                </left>
                <right style="thin">
                  <color theme="0"/>
                </right>
                <top style="thin">
                  <color theme="0"/>
                </top>
                <bottom style="thin">
                  <color theme="0"/>
                </bottom>
                <vertical/>
                <horizontal/>
              </border>
            </x14:dxf>
          </x14:cfRule>
          <xm:sqref>N40:N41</xm:sqref>
        </x14:conditionalFormatting>
        <x14:conditionalFormatting xmlns:xm="http://schemas.microsoft.com/office/excel/2006/main">
          <x14:cfRule type="expression" priority="294" id="{EE5D9CA1-F0E4-419F-910C-6DE85D74E322}">
            <xm:f>$Z$8='Assessment Details'!$Q$23</xm:f>
            <x14:dxf>
              <font>
                <color theme="0"/>
              </font>
              <fill>
                <patternFill>
                  <bgColor theme="0"/>
                </patternFill>
              </fill>
            </x14:dxf>
          </x14:cfRule>
          <xm:sqref>U40:U41</xm:sqref>
        </x14:conditionalFormatting>
        <x14:conditionalFormatting xmlns:xm="http://schemas.microsoft.com/office/excel/2006/main">
          <x14:cfRule type="expression" priority="293" id="{0ED5B0BE-EB5F-459A-97B7-CB07977EF185}">
            <xm:f>$Z$8='Assessment Details'!$Q$23</xm:f>
            <x14:dxf>
              <border>
                <left style="thin">
                  <color theme="0"/>
                </left>
                <right style="thin">
                  <color theme="0"/>
                </right>
                <top style="thin">
                  <color theme="0"/>
                </top>
                <bottom style="thin">
                  <color theme="0"/>
                </bottom>
                <vertical/>
                <horizontal/>
              </border>
            </x14:dxf>
          </x14:cfRule>
          <xm:sqref>U40:U41</xm:sqref>
        </x14:conditionalFormatting>
        <x14:conditionalFormatting xmlns:xm="http://schemas.microsoft.com/office/excel/2006/main">
          <x14:cfRule type="expression" priority="274" id="{65CA73E6-BD38-436B-8667-DF9AAF8E6316}">
            <xm:f>$S$8='Assessment Details'!$Q$23</xm:f>
            <x14:dxf>
              <font>
                <color theme="0"/>
              </font>
              <fill>
                <patternFill>
                  <bgColor theme="0"/>
                </patternFill>
              </fill>
              <border>
                <vertical/>
                <horizontal/>
              </border>
            </x14:dxf>
          </x14:cfRule>
          <xm:sqref>Q155:R155</xm:sqref>
        </x14:conditionalFormatting>
        <x14:conditionalFormatting xmlns:xm="http://schemas.microsoft.com/office/excel/2006/main">
          <x14:cfRule type="expression" priority="273" id="{3A565662-0B6D-4CA4-945C-1FAF4D2A9455}">
            <xm:f>$S$8='Assessment Details'!$Q$23</xm:f>
            <x14:dxf>
              <border>
                <left style="thin">
                  <color theme="0"/>
                </left>
                <right style="thin">
                  <color theme="0"/>
                </right>
                <top style="thin">
                  <color theme="0"/>
                </top>
                <bottom style="thin">
                  <color theme="0"/>
                </bottom>
                <vertical/>
                <horizontal/>
              </border>
            </x14:dxf>
          </x14:cfRule>
          <xm:sqref>Q155:R155</xm:sqref>
        </x14:conditionalFormatting>
        <x14:conditionalFormatting xmlns:xm="http://schemas.microsoft.com/office/excel/2006/main">
          <x14:cfRule type="expression" priority="265" id="{08BEB683-C2B8-49B9-8E2B-8E5DF0EAEDE1}">
            <xm:f>$S$8='Assessment Details'!$Q$23</xm:f>
            <x14:dxf>
              <font>
                <color theme="0"/>
              </font>
              <fill>
                <patternFill>
                  <bgColor theme="0"/>
                </patternFill>
              </fill>
              <border>
                <vertical/>
                <horizontal/>
              </border>
            </x14:dxf>
          </x14:cfRule>
          <xm:sqref>N155</xm:sqref>
        </x14:conditionalFormatting>
        <x14:conditionalFormatting xmlns:xm="http://schemas.microsoft.com/office/excel/2006/main">
          <x14:cfRule type="expression" priority="264" id="{B351332A-CDBD-4BF2-B68B-54A083937E14}">
            <xm:f>$S$8='Assessment Details'!$Q$23</xm:f>
            <x14:dxf>
              <border>
                <left style="thin">
                  <color theme="0"/>
                </left>
                <right style="thin">
                  <color theme="0"/>
                </right>
                <top style="thin">
                  <color theme="0"/>
                </top>
                <bottom style="thin">
                  <color theme="0"/>
                </bottom>
                <vertical/>
                <horizontal/>
              </border>
            </x14:dxf>
          </x14:cfRule>
          <xm:sqref>N155</xm:sqref>
        </x14:conditionalFormatting>
        <x14:conditionalFormatting xmlns:xm="http://schemas.microsoft.com/office/excel/2006/main">
          <x14:cfRule type="expression" priority="257" id="{54BAFC6B-26D6-45D6-B24F-D347232A6286}">
            <xm:f>$Z$8='Assessment Details'!$Q$23</xm:f>
            <x14:dxf>
              <font>
                <color theme="0"/>
              </font>
              <fill>
                <patternFill>
                  <bgColor theme="0"/>
                </patternFill>
              </fill>
            </x14:dxf>
          </x14:cfRule>
          <xm:sqref>X155:Y155</xm:sqref>
        </x14:conditionalFormatting>
        <x14:conditionalFormatting xmlns:xm="http://schemas.microsoft.com/office/excel/2006/main">
          <x14:cfRule type="expression" priority="256" id="{4D014AA0-BD19-4252-AD63-B82775449FD7}">
            <xm:f>$Z$8='Assessment Details'!$Q$23</xm:f>
            <x14:dxf>
              <border>
                <left style="thin">
                  <color theme="0"/>
                </left>
                <right style="thin">
                  <color theme="0"/>
                </right>
                <top style="thin">
                  <color theme="0"/>
                </top>
                <bottom style="thin">
                  <color theme="0"/>
                </bottom>
                <vertical/>
                <horizontal/>
              </border>
            </x14:dxf>
          </x14:cfRule>
          <xm:sqref>X155:Y155</xm:sqref>
        </x14:conditionalFormatting>
        <x14:conditionalFormatting xmlns:xm="http://schemas.microsoft.com/office/excel/2006/main">
          <x14:cfRule type="expression" priority="252" id="{44621CD4-E4DB-4918-8BED-0B3E67666858}">
            <xm:f>$Z$8='Assessment Details'!$Q$23</xm:f>
            <x14:dxf>
              <font>
                <color theme="0"/>
              </font>
              <fill>
                <patternFill>
                  <bgColor theme="0"/>
                </patternFill>
              </fill>
            </x14:dxf>
          </x14:cfRule>
          <xm:sqref>U155</xm:sqref>
        </x14:conditionalFormatting>
        <x14:conditionalFormatting xmlns:xm="http://schemas.microsoft.com/office/excel/2006/main">
          <x14:cfRule type="expression" priority="251" id="{DFF0AE6B-5353-4A62-8464-F3E14179ED2E}">
            <xm:f>$Z$8='Assessment Details'!$Q$23</xm:f>
            <x14:dxf>
              <border>
                <left style="thin">
                  <color theme="0"/>
                </left>
                <right style="thin">
                  <color theme="0"/>
                </right>
                <top style="thin">
                  <color theme="0"/>
                </top>
                <bottom style="thin">
                  <color theme="0"/>
                </bottom>
                <vertical/>
                <horizontal/>
              </border>
            </x14:dxf>
          </x14:cfRule>
          <xm:sqref>U155</xm:sqref>
        </x14:conditionalFormatting>
        <x14:conditionalFormatting xmlns:xm="http://schemas.microsoft.com/office/excel/2006/main">
          <x14:cfRule type="expression" priority="238" id="{CB642F8B-2E61-4CCA-845E-E9BF5EBC7179}">
            <xm:f>$S$8='Assessment Details'!$Q$23</xm:f>
            <x14:dxf>
              <font>
                <color theme="0"/>
              </font>
              <fill>
                <patternFill>
                  <bgColor theme="0"/>
                </patternFill>
              </fill>
              <border>
                <vertical/>
                <horizontal/>
              </border>
            </x14:dxf>
          </x14:cfRule>
          <xm:sqref>Q167</xm:sqref>
        </x14:conditionalFormatting>
        <x14:conditionalFormatting xmlns:xm="http://schemas.microsoft.com/office/excel/2006/main">
          <x14:cfRule type="expression" priority="237" id="{1A8B2317-D8BB-49D8-B51C-6BCC62A1BB7D}">
            <xm:f>$S$8='Assessment Details'!$Q$23</xm:f>
            <x14:dxf>
              <border>
                <left style="thin">
                  <color theme="0"/>
                </left>
                <right style="thin">
                  <color theme="0"/>
                </right>
                <top style="thin">
                  <color theme="0"/>
                </top>
                <bottom style="thin">
                  <color theme="0"/>
                </bottom>
                <vertical/>
                <horizontal/>
              </border>
            </x14:dxf>
          </x14:cfRule>
          <xm:sqref>Q167</xm:sqref>
        </x14:conditionalFormatting>
        <x14:conditionalFormatting xmlns:xm="http://schemas.microsoft.com/office/excel/2006/main">
          <x14:cfRule type="expression" priority="229" id="{934EF046-70D2-46EA-81CD-20AF2A8CEC09}">
            <xm:f>$S$8='Assessment Details'!$Q$23</xm:f>
            <x14:dxf>
              <font>
                <color theme="0"/>
              </font>
              <fill>
                <patternFill>
                  <bgColor theme="0"/>
                </patternFill>
              </fill>
              <border>
                <vertical/>
                <horizontal/>
              </border>
            </x14:dxf>
          </x14:cfRule>
          <xm:sqref>N167</xm:sqref>
        </x14:conditionalFormatting>
        <x14:conditionalFormatting xmlns:xm="http://schemas.microsoft.com/office/excel/2006/main">
          <x14:cfRule type="expression" priority="228" id="{09CA425F-C18C-4B7E-B211-7F4BD61EB152}">
            <xm:f>$S$8='Assessment Details'!$Q$23</xm:f>
            <x14:dxf>
              <border>
                <left style="thin">
                  <color theme="0"/>
                </left>
                <right style="thin">
                  <color theme="0"/>
                </right>
                <top style="thin">
                  <color theme="0"/>
                </top>
                <bottom style="thin">
                  <color theme="0"/>
                </bottom>
                <vertical/>
                <horizontal/>
              </border>
            </x14:dxf>
          </x14:cfRule>
          <xm:sqref>N167</xm:sqref>
        </x14:conditionalFormatting>
        <x14:conditionalFormatting xmlns:xm="http://schemas.microsoft.com/office/excel/2006/main">
          <x14:cfRule type="expression" priority="221" id="{B2FC46A1-2C92-496B-9E89-791D09A9AF0B}">
            <xm:f>$Z$8='Assessment Details'!$Q$23</xm:f>
            <x14:dxf>
              <font>
                <color theme="0"/>
              </font>
              <fill>
                <patternFill>
                  <bgColor theme="0"/>
                </patternFill>
              </fill>
            </x14:dxf>
          </x14:cfRule>
          <xm:sqref>X167:Y167</xm:sqref>
        </x14:conditionalFormatting>
        <x14:conditionalFormatting xmlns:xm="http://schemas.microsoft.com/office/excel/2006/main">
          <x14:cfRule type="expression" priority="220" id="{A1E9EE4F-CE82-46D0-BBA8-D422B26625B9}">
            <xm:f>$Z$8='Assessment Details'!$Q$23</xm:f>
            <x14:dxf>
              <border>
                <left style="thin">
                  <color theme="0"/>
                </left>
                <right style="thin">
                  <color theme="0"/>
                </right>
                <top style="thin">
                  <color theme="0"/>
                </top>
                <bottom style="thin">
                  <color theme="0"/>
                </bottom>
                <vertical/>
                <horizontal/>
              </border>
            </x14:dxf>
          </x14:cfRule>
          <xm:sqref>X167:Y167</xm:sqref>
        </x14:conditionalFormatting>
        <x14:conditionalFormatting xmlns:xm="http://schemas.microsoft.com/office/excel/2006/main">
          <x14:cfRule type="expression" priority="216" id="{645F55AC-AEC3-49A7-9FF8-9C56EC37578F}">
            <xm:f>$Z$8='Assessment Details'!$Q$23</xm:f>
            <x14:dxf>
              <font>
                <color theme="0"/>
              </font>
              <fill>
                <patternFill>
                  <bgColor theme="0"/>
                </patternFill>
              </fill>
            </x14:dxf>
          </x14:cfRule>
          <xm:sqref>U167</xm:sqref>
        </x14:conditionalFormatting>
        <x14:conditionalFormatting xmlns:xm="http://schemas.microsoft.com/office/excel/2006/main">
          <x14:cfRule type="expression" priority="215" id="{E3A3E958-208D-4007-9FEE-45A1BE170DA7}">
            <xm:f>$Z$8='Assessment Details'!$Q$23</xm:f>
            <x14:dxf>
              <border>
                <left style="thin">
                  <color theme="0"/>
                </left>
                <right style="thin">
                  <color theme="0"/>
                </right>
                <top style="thin">
                  <color theme="0"/>
                </top>
                <bottom style="thin">
                  <color theme="0"/>
                </bottom>
                <vertical/>
                <horizontal/>
              </border>
            </x14:dxf>
          </x14:cfRule>
          <xm:sqref>U167</xm:sqref>
        </x14:conditionalFormatting>
        <x14:conditionalFormatting xmlns:xm="http://schemas.microsoft.com/office/excel/2006/main">
          <x14:cfRule type="expression" priority="200" id="{040902CE-9860-413B-A8E8-2BA69DC644F4}">
            <xm:f>$S$8='Assessment Details'!$Q$23</xm:f>
            <x14:dxf>
              <font>
                <color theme="0"/>
              </font>
              <fill>
                <patternFill>
                  <bgColor theme="0"/>
                </patternFill>
              </fill>
              <border>
                <vertical/>
                <horizontal/>
              </border>
            </x14:dxf>
          </x14:cfRule>
          <xm:sqref>N71</xm:sqref>
        </x14:conditionalFormatting>
        <x14:conditionalFormatting xmlns:xm="http://schemas.microsoft.com/office/excel/2006/main">
          <x14:cfRule type="expression" priority="199" id="{7D7C6925-A257-49BE-A707-A28D0318336B}">
            <xm:f>$S$8='Assessment Details'!$Q$23</xm:f>
            <x14:dxf>
              <border>
                <left style="thin">
                  <color theme="0"/>
                </left>
                <right style="thin">
                  <color theme="0"/>
                </right>
                <top style="thin">
                  <color theme="0"/>
                </top>
                <bottom style="thin">
                  <color theme="0"/>
                </bottom>
                <vertical/>
                <horizontal/>
              </border>
            </x14:dxf>
          </x14:cfRule>
          <xm:sqref>N71</xm:sqref>
        </x14:conditionalFormatting>
        <x14:conditionalFormatting xmlns:xm="http://schemas.microsoft.com/office/excel/2006/main">
          <x14:cfRule type="expression" priority="189" id="{211DBCB8-0A17-42FE-9246-881838AB152E}">
            <xm:f>$Z$8='Assessment Details'!$Q$23</xm:f>
            <x14:dxf>
              <font>
                <color theme="0"/>
              </font>
              <fill>
                <patternFill>
                  <bgColor theme="0"/>
                </patternFill>
              </fill>
              <border>
                <left/>
                <right/>
                <top/>
                <bottom/>
              </border>
            </x14:dxf>
          </x14:cfRule>
          <xm:sqref>U71</xm:sqref>
        </x14:conditionalFormatting>
        <x14:conditionalFormatting xmlns:xm="http://schemas.microsoft.com/office/excel/2006/main">
          <x14:cfRule type="expression" priority="191" id="{37EEC3DA-3771-43C1-84AB-4DF49BD6D9B7}">
            <xm:f>$Z$8='Assessment Details'!$Q$23</xm:f>
            <x14:dxf>
              <font>
                <color theme="0"/>
              </font>
              <fill>
                <patternFill>
                  <bgColor theme="0"/>
                </patternFill>
              </fill>
            </x14:dxf>
          </x14:cfRule>
          <xm:sqref>U71</xm:sqref>
        </x14:conditionalFormatting>
        <x14:conditionalFormatting xmlns:xm="http://schemas.microsoft.com/office/excel/2006/main">
          <x14:cfRule type="expression" priority="190" id="{0341C9CF-C989-455B-BED3-3F5C54F48A03}">
            <xm:f>$Z$8='Assessment Details'!$Q$23</xm:f>
            <x14:dxf>
              <border>
                <left style="thin">
                  <color theme="0"/>
                </left>
                <right style="thin">
                  <color theme="0"/>
                </right>
                <top style="thin">
                  <color theme="0"/>
                </top>
                <bottom style="thin">
                  <color theme="0"/>
                </bottom>
                <vertical/>
                <horizontal/>
              </border>
            </x14:dxf>
          </x14:cfRule>
          <xm:sqref>U71</xm:sqref>
        </x14:conditionalFormatting>
        <x14:conditionalFormatting xmlns:xm="http://schemas.microsoft.com/office/excel/2006/main">
          <x14:cfRule type="expression" priority="155" id="{59F487A5-8B2D-4BD5-88C6-FFF118AED0A6}">
            <xm:f>$S$8='Assessment Details'!$Q$23</xm:f>
            <x14:dxf>
              <font>
                <color theme="0"/>
              </font>
              <fill>
                <patternFill>
                  <bgColor theme="0"/>
                </patternFill>
              </fill>
              <border>
                <left/>
                <right/>
                <top/>
                <bottom/>
                <vertical/>
                <horizontal/>
              </border>
            </x14:dxf>
          </x14:cfRule>
          <xm:sqref>O107:S107</xm:sqref>
        </x14:conditionalFormatting>
        <x14:conditionalFormatting xmlns:xm="http://schemas.microsoft.com/office/excel/2006/main">
          <x14:cfRule type="expression" priority="154" id="{2320E191-1905-4394-BA53-DCDC25252364}">
            <xm:f>$Z$8='Assessment Details'!$Q$23</xm:f>
            <x14:dxf>
              <font>
                <color theme="0"/>
              </font>
              <fill>
                <patternFill>
                  <bgColor theme="0"/>
                </patternFill>
              </fill>
              <border>
                <left/>
                <right/>
                <top/>
                <bottom/>
              </border>
            </x14:dxf>
          </x14:cfRule>
          <xm:sqref>V107:Z107</xm:sqref>
        </x14:conditionalFormatting>
        <x14:conditionalFormatting xmlns:xm="http://schemas.microsoft.com/office/excel/2006/main">
          <x14:cfRule type="expression" priority="173" id="{FAD9C128-0C7C-438D-A6E0-664F9EFCF777}">
            <xm:f>$S$8='Assessment Details'!$Q$23</xm:f>
            <x14:dxf>
              <font>
                <color theme="0"/>
              </font>
              <fill>
                <patternFill>
                  <bgColor theme="0"/>
                </patternFill>
              </fill>
              <border>
                <vertical/>
                <horizontal/>
              </border>
            </x14:dxf>
          </x14:cfRule>
          <xm:sqref>Q107:R107</xm:sqref>
        </x14:conditionalFormatting>
        <x14:conditionalFormatting xmlns:xm="http://schemas.microsoft.com/office/excel/2006/main">
          <x14:cfRule type="expression" priority="172" id="{0F82769C-0662-4902-9CE8-CBD8E6C78C1F}">
            <xm:f>$S$8='Assessment Details'!$Q$23</xm:f>
            <x14:dxf>
              <border>
                <left style="thin">
                  <color theme="0"/>
                </left>
                <right style="thin">
                  <color theme="0"/>
                </right>
                <top style="thin">
                  <color theme="0"/>
                </top>
                <bottom style="thin">
                  <color theme="0"/>
                </bottom>
                <vertical/>
                <horizontal/>
              </border>
            </x14:dxf>
          </x14:cfRule>
          <xm:sqref>Q107:R107</xm:sqref>
        </x14:conditionalFormatting>
        <x14:conditionalFormatting xmlns:xm="http://schemas.microsoft.com/office/excel/2006/main">
          <x14:cfRule type="expression" priority="171" id="{221EEEEE-A194-4069-968F-DD9AB90A71E1}">
            <xm:f>$Z$8='Assessment Details'!$Q$23</xm:f>
            <x14:dxf>
              <font>
                <color theme="0"/>
              </font>
              <fill>
                <patternFill>
                  <bgColor theme="0"/>
                </patternFill>
              </fill>
            </x14:dxf>
          </x14:cfRule>
          <xm:sqref>X107:Y107</xm:sqref>
        </x14:conditionalFormatting>
        <x14:conditionalFormatting xmlns:xm="http://schemas.microsoft.com/office/excel/2006/main">
          <x14:cfRule type="expression" priority="170" id="{E75D99F3-6014-48CB-86CE-FECF76B23D21}">
            <xm:f>$Z$8='Assessment Details'!$Q$23</xm:f>
            <x14:dxf>
              <border>
                <left style="thin">
                  <color theme="0"/>
                </left>
                <right style="thin">
                  <color theme="0"/>
                </right>
                <top style="thin">
                  <color theme="0"/>
                </top>
                <bottom style="thin">
                  <color theme="0"/>
                </bottom>
                <vertical/>
                <horizontal/>
              </border>
            </x14:dxf>
          </x14:cfRule>
          <xm:sqref>X107:Y107</xm:sqref>
        </x14:conditionalFormatting>
        <x14:conditionalFormatting xmlns:xm="http://schemas.microsoft.com/office/excel/2006/main">
          <x14:cfRule type="expression" priority="114" id="{753631EF-28F7-4CED-8C27-9CDB1948039F}">
            <xm:f>$S$8='Assessment Details'!$Q$23</xm:f>
            <x14:dxf>
              <font>
                <color theme="0"/>
              </font>
              <fill>
                <patternFill>
                  <bgColor theme="0"/>
                </patternFill>
              </fill>
              <border>
                <left/>
                <right/>
                <top/>
                <bottom/>
                <vertical/>
                <horizontal/>
              </border>
            </x14:dxf>
          </x14:cfRule>
          <xm:sqref>O151:S151</xm:sqref>
        </x14:conditionalFormatting>
        <x14:conditionalFormatting xmlns:xm="http://schemas.microsoft.com/office/excel/2006/main">
          <x14:cfRule type="expression" priority="113" id="{B8C347FC-5C72-466C-AE24-F7F42136F625}">
            <xm:f>$Z$8='Assessment Details'!$Q$23</xm:f>
            <x14:dxf>
              <font>
                <color theme="0"/>
              </font>
              <fill>
                <patternFill>
                  <bgColor theme="0"/>
                </patternFill>
              </fill>
              <border>
                <left/>
                <right/>
                <top/>
                <bottom/>
              </border>
            </x14:dxf>
          </x14:cfRule>
          <xm:sqref>V151:Z151</xm:sqref>
        </x14:conditionalFormatting>
        <x14:conditionalFormatting xmlns:xm="http://schemas.microsoft.com/office/excel/2006/main">
          <x14:cfRule type="expression" priority="132" id="{8C2205B5-D082-41BE-9828-54B10EEB7ABF}">
            <xm:f>$S$8='Assessment Details'!$Q$23</xm:f>
            <x14:dxf>
              <font>
                <color theme="0"/>
              </font>
              <fill>
                <patternFill>
                  <bgColor theme="0"/>
                </patternFill>
              </fill>
              <border>
                <vertical/>
                <horizontal/>
              </border>
            </x14:dxf>
          </x14:cfRule>
          <xm:sqref>Q151:R151</xm:sqref>
        </x14:conditionalFormatting>
        <x14:conditionalFormatting xmlns:xm="http://schemas.microsoft.com/office/excel/2006/main">
          <x14:cfRule type="expression" priority="131" id="{25FAD901-5A52-44B1-AFEF-0E30576C9BFE}">
            <xm:f>$S$8='Assessment Details'!$Q$23</xm:f>
            <x14:dxf>
              <border>
                <left style="thin">
                  <color theme="0"/>
                </left>
                <right style="thin">
                  <color theme="0"/>
                </right>
                <top style="thin">
                  <color theme="0"/>
                </top>
                <bottom style="thin">
                  <color theme="0"/>
                </bottom>
                <vertical/>
                <horizontal/>
              </border>
            </x14:dxf>
          </x14:cfRule>
          <xm:sqref>Q151:R151</xm:sqref>
        </x14:conditionalFormatting>
        <x14:conditionalFormatting xmlns:xm="http://schemas.microsoft.com/office/excel/2006/main">
          <x14:cfRule type="expression" priority="130" id="{CB7E89B4-EAD9-4F74-9F14-36721AD881AE}">
            <xm:f>$Z$8='Assessment Details'!$Q$23</xm:f>
            <x14:dxf>
              <font>
                <color theme="0"/>
              </font>
              <fill>
                <patternFill>
                  <bgColor theme="0"/>
                </patternFill>
              </fill>
            </x14:dxf>
          </x14:cfRule>
          <xm:sqref>X151:Y151</xm:sqref>
        </x14:conditionalFormatting>
        <x14:conditionalFormatting xmlns:xm="http://schemas.microsoft.com/office/excel/2006/main">
          <x14:cfRule type="expression" priority="129" id="{4264F0D5-D4F3-401D-ADC2-375E1929F74B}">
            <xm:f>$Z$8='Assessment Details'!$Q$23</xm:f>
            <x14:dxf>
              <border>
                <left style="thin">
                  <color theme="0"/>
                </left>
                <right style="thin">
                  <color theme="0"/>
                </right>
                <top style="thin">
                  <color theme="0"/>
                </top>
                <bottom style="thin">
                  <color theme="0"/>
                </bottom>
                <vertical/>
                <horizontal/>
              </border>
            </x14:dxf>
          </x14:cfRule>
          <xm:sqref>X151:Y151</xm:sqref>
        </x14:conditionalFormatting>
        <x14:conditionalFormatting xmlns:xm="http://schemas.microsoft.com/office/excel/2006/main">
          <x14:cfRule type="expression" priority="76" id="{FB513AC0-BF46-4EA1-9764-92B46301C5BF}">
            <xm:f>$S$8='Assessment Details'!$Q$23</xm:f>
            <x14:dxf>
              <font>
                <color theme="0"/>
              </font>
              <fill>
                <patternFill>
                  <bgColor theme="0"/>
                </patternFill>
              </fill>
              <border>
                <left/>
                <right/>
                <top/>
                <bottom/>
                <vertical/>
                <horizontal/>
              </border>
            </x14:dxf>
          </x14:cfRule>
          <xm:sqref>N139:S139</xm:sqref>
        </x14:conditionalFormatting>
        <x14:conditionalFormatting xmlns:xm="http://schemas.microsoft.com/office/excel/2006/main">
          <x14:cfRule type="expression" priority="111" id="{8272D6CF-31FE-45BA-9858-520A52503E9B}">
            <xm:f>$S$8='Assessment Details'!$Q$23</xm:f>
            <x14:dxf>
              <border>
                <left style="thin">
                  <color theme="0"/>
                </left>
                <right style="thin">
                  <color theme="0"/>
                </right>
                <top style="thin">
                  <color theme="0"/>
                </top>
                <bottom style="thin">
                  <color theme="0"/>
                </bottom>
                <vertical/>
                <horizontal/>
              </border>
            </x14:dxf>
          </x14:cfRule>
          <xm:sqref>Q139:R139</xm:sqref>
        </x14:conditionalFormatting>
        <x14:conditionalFormatting xmlns:xm="http://schemas.microsoft.com/office/excel/2006/main">
          <x14:cfRule type="expression" priority="75" id="{CFB16048-1C44-46C6-9915-C0B1B9D9D4D0}">
            <xm:f>$Z$8='Assessment Details'!$Q$23</xm:f>
            <x14:dxf>
              <font>
                <color theme="0"/>
              </font>
              <fill>
                <patternFill>
                  <bgColor theme="0"/>
                </patternFill>
              </fill>
              <border>
                <left/>
                <right/>
                <top/>
                <bottom/>
              </border>
            </x14:dxf>
          </x14:cfRule>
          <xm:sqref>U139:Z139</xm:sqref>
        </x14:conditionalFormatting>
        <x14:conditionalFormatting xmlns:xm="http://schemas.microsoft.com/office/excel/2006/main">
          <x14:cfRule type="expression" priority="100" id="{F4FCB03C-9991-4657-B3A4-C172320EADE2}">
            <xm:f>$Z$8='Assessment Details'!$Q$23</xm:f>
            <x14:dxf>
              <font>
                <color theme="0"/>
              </font>
              <fill>
                <patternFill>
                  <bgColor theme="0"/>
                </patternFill>
              </fill>
            </x14:dxf>
          </x14:cfRule>
          <xm:sqref>X139:Y139</xm:sqref>
        </x14:conditionalFormatting>
        <x14:conditionalFormatting xmlns:xm="http://schemas.microsoft.com/office/excel/2006/main">
          <x14:cfRule type="expression" priority="99" id="{52397341-4709-4971-B9C3-8F664875CBFF}">
            <xm:f>$Z$8='Assessment Details'!$Q$23</xm:f>
            <x14:dxf>
              <border>
                <left style="thin">
                  <color theme="0"/>
                </left>
                <right style="thin">
                  <color theme="0"/>
                </right>
                <top style="thin">
                  <color theme="0"/>
                </top>
                <bottom style="thin">
                  <color theme="0"/>
                </bottom>
                <vertical/>
                <horizontal/>
              </border>
            </x14:dxf>
          </x14:cfRule>
          <xm:sqref>X139:Y139</xm:sqref>
        </x14:conditionalFormatting>
        <x14:conditionalFormatting xmlns:xm="http://schemas.microsoft.com/office/excel/2006/main">
          <x14:cfRule type="expression" priority="86" id="{FA10BCCD-5F13-4B32-AEE2-32308139C0B9}">
            <xm:f>$S$8='Assessment Details'!$Q$23</xm:f>
            <x14:dxf>
              <font>
                <color theme="0"/>
              </font>
              <fill>
                <patternFill>
                  <bgColor theme="0"/>
                </patternFill>
              </fill>
              <border>
                <vertical/>
                <horizontal/>
              </border>
            </x14:dxf>
          </x14:cfRule>
          <xm:sqref>N139</xm:sqref>
        </x14:conditionalFormatting>
        <x14:conditionalFormatting xmlns:xm="http://schemas.microsoft.com/office/excel/2006/main">
          <x14:cfRule type="expression" priority="85" id="{C91DA647-F13F-4C74-BD17-677CB8B5CA84}">
            <xm:f>$S$8='Assessment Details'!$Q$23</xm:f>
            <x14:dxf>
              <border>
                <left style="thin">
                  <color theme="0"/>
                </left>
                <right style="thin">
                  <color theme="0"/>
                </right>
                <top style="thin">
                  <color theme="0"/>
                </top>
                <bottom style="thin">
                  <color theme="0"/>
                </bottom>
                <vertical/>
                <horizontal/>
              </border>
            </x14:dxf>
          </x14:cfRule>
          <xm:sqref>N139</xm:sqref>
        </x14:conditionalFormatting>
        <x14:conditionalFormatting xmlns:xm="http://schemas.microsoft.com/office/excel/2006/main">
          <x14:cfRule type="expression" priority="82" id="{EC8A3289-B5B7-47C5-AAE4-1F74BDB5E375}">
            <xm:f>$Z$8='Assessment Details'!$Q$23</xm:f>
            <x14:dxf>
              <font>
                <color theme="0"/>
              </font>
              <fill>
                <patternFill>
                  <bgColor theme="0"/>
                </patternFill>
              </fill>
            </x14:dxf>
          </x14:cfRule>
          <xm:sqref>U139</xm:sqref>
        </x14:conditionalFormatting>
        <x14:conditionalFormatting xmlns:xm="http://schemas.microsoft.com/office/excel/2006/main">
          <x14:cfRule type="expression" priority="81" id="{121D25EC-91F5-4D3E-890D-70BA55A374BA}">
            <xm:f>$Z$8='Assessment Details'!$Q$23</xm:f>
            <x14:dxf>
              <border>
                <left style="thin">
                  <color theme="0"/>
                </left>
                <right style="thin">
                  <color theme="0"/>
                </right>
                <top style="thin">
                  <color theme="0"/>
                </top>
                <bottom style="thin">
                  <color theme="0"/>
                </bottom>
                <vertical/>
                <horizontal/>
              </border>
            </x14:dxf>
          </x14:cfRule>
          <xm:sqref>U139</xm:sqref>
        </x14:conditionalFormatting>
        <x14:conditionalFormatting xmlns:xm="http://schemas.microsoft.com/office/excel/2006/main">
          <x14:cfRule type="expression" priority="68" id="{AF49019E-2662-4209-88EA-2CF060F61E23}">
            <xm:f>$S$8='Assessment Details'!$Q$23</xm:f>
            <x14:dxf>
              <font>
                <color theme="0"/>
              </font>
              <fill>
                <patternFill>
                  <bgColor theme="0"/>
                </patternFill>
              </fill>
              <border>
                <left/>
                <right/>
                <top/>
                <bottom/>
                <vertical/>
                <horizontal/>
              </border>
            </x14:dxf>
          </x14:cfRule>
          <xm:sqref>N152</xm:sqref>
        </x14:conditionalFormatting>
        <x14:conditionalFormatting xmlns:xm="http://schemas.microsoft.com/office/excel/2006/main">
          <x14:cfRule type="expression" priority="70" id="{BACED2D5-0554-4AB0-BC9E-C9E386C9FD08}">
            <xm:f>$S$8='Assessment Details'!$Q$23</xm:f>
            <x14:dxf>
              <font>
                <color theme="0"/>
              </font>
              <fill>
                <patternFill>
                  <bgColor theme="0"/>
                </patternFill>
              </fill>
              <border>
                <vertical/>
                <horizontal/>
              </border>
            </x14:dxf>
          </x14:cfRule>
          <xm:sqref>N152</xm:sqref>
        </x14:conditionalFormatting>
        <x14:conditionalFormatting xmlns:xm="http://schemas.microsoft.com/office/excel/2006/main">
          <x14:cfRule type="expression" priority="69" id="{88AC38AC-4E35-4555-9AE8-7DED49BEDCA0}">
            <xm:f>$S$8='Assessment Details'!$Q$23</xm:f>
            <x14:dxf>
              <border>
                <left style="thin">
                  <color theme="0"/>
                </left>
                <right style="thin">
                  <color theme="0"/>
                </right>
                <top style="thin">
                  <color theme="0"/>
                </top>
                <bottom style="thin">
                  <color theme="0"/>
                </bottom>
                <vertical/>
                <horizontal/>
              </border>
            </x14:dxf>
          </x14:cfRule>
          <xm:sqref>N152</xm:sqref>
        </x14:conditionalFormatting>
        <x14:conditionalFormatting xmlns:xm="http://schemas.microsoft.com/office/excel/2006/main">
          <x14:cfRule type="expression" priority="63" id="{E875EDE0-8C34-4748-9F9C-B8F331626C49}">
            <xm:f>$Z$8='Assessment Details'!$Q$23</xm:f>
            <x14:dxf>
              <font>
                <color theme="0"/>
              </font>
              <fill>
                <patternFill>
                  <bgColor theme="0"/>
                </patternFill>
              </fill>
              <border>
                <left/>
                <right/>
                <top/>
                <bottom/>
              </border>
            </x14:dxf>
          </x14:cfRule>
          <xm:sqref>U152</xm:sqref>
        </x14:conditionalFormatting>
        <x14:conditionalFormatting xmlns:xm="http://schemas.microsoft.com/office/excel/2006/main">
          <x14:cfRule type="expression" priority="65" id="{42163D35-F50D-4FBE-81D5-7F41EEB3A86F}">
            <xm:f>$Z$8='Assessment Details'!$Q$23</xm:f>
            <x14:dxf>
              <font>
                <color theme="0"/>
              </font>
              <fill>
                <patternFill>
                  <bgColor theme="0"/>
                </patternFill>
              </fill>
            </x14:dxf>
          </x14:cfRule>
          <xm:sqref>U152</xm:sqref>
        </x14:conditionalFormatting>
        <x14:conditionalFormatting xmlns:xm="http://schemas.microsoft.com/office/excel/2006/main">
          <x14:cfRule type="expression" priority="64" id="{15E90BDC-D687-4724-99E1-28B8E4950EE5}">
            <xm:f>$Z$8='Assessment Details'!$Q$23</xm:f>
            <x14:dxf>
              <border>
                <left style="thin">
                  <color theme="0"/>
                </left>
                <right style="thin">
                  <color theme="0"/>
                </right>
                <top style="thin">
                  <color theme="0"/>
                </top>
                <bottom style="thin">
                  <color theme="0"/>
                </bottom>
                <vertical/>
                <horizontal/>
              </border>
            </x14:dxf>
          </x14:cfRule>
          <xm:sqref>U152</xm:sqref>
        </x14:conditionalFormatting>
        <x14:conditionalFormatting xmlns:xm="http://schemas.microsoft.com/office/excel/2006/main">
          <x14:cfRule type="expression" priority="56" id="{A46B1BCF-8CD0-4386-BFAA-1774BEBD0616}">
            <xm:f>$S$8='Assessment Details'!$Q$23</xm:f>
            <x14:dxf>
              <font>
                <color theme="0"/>
              </font>
              <fill>
                <patternFill>
                  <bgColor theme="0"/>
                </patternFill>
              </fill>
              <border>
                <left/>
                <right/>
                <top/>
                <bottom/>
                <vertical/>
                <horizontal/>
              </border>
            </x14:dxf>
          </x14:cfRule>
          <xm:sqref>N151</xm:sqref>
        </x14:conditionalFormatting>
        <x14:conditionalFormatting xmlns:xm="http://schemas.microsoft.com/office/excel/2006/main">
          <x14:cfRule type="expression" priority="58" id="{663A9820-0F9C-4D23-A4D4-B1B4AF4ECE10}">
            <xm:f>$S$8='Assessment Details'!$Q$23</xm:f>
            <x14:dxf>
              <font>
                <color theme="0"/>
              </font>
              <fill>
                <patternFill>
                  <bgColor theme="0"/>
                </patternFill>
              </fill>
              <border>
                <vertical/>
                <horizontal/>
              </border>
            </x14:dxf>
          </x14:cfRule>
          <xm:sqref>N151</xm:sqref>
        </x14:conditionalFormatting>
        <x14:conditionalFormatting xmlns:xm="http://schemas.microsoft.com/office/excel/2006/main">
          <x14:cfRule type="expression" priority="57" id="{CFE9D092-6979-49C0-96B0-AE4EEF087773}">
            <xm:f>$S$8='Assessment Details'!$Q$23</xm:f>
            <x14:dxf>
              <border>
                <left style="thin">
                  <color theme="0"/>
                </left>
                <right style="thin">
                  <color theme="0"/>
                </right>
                <top style="thin">
                  <color theme="0"/>
                </top>
                <bottom style="thin">
                  <color theme="0"/>
                </bottom>
                <vertical/>
                <horizontal/>
              </border>
            </x14:dxf>
          </x14:cfRule>
          <xm:sqref>N151</xm:sqref>
        </x14:conditionalFormatting>
        <x14:conditionalFormatting xmlns:xm="http://schemas.microsoft.com/office/excel/2006/main">
          <x14:cfRule type="expression" priority="51" id="{20FD717F-207B-440A-ADD0-306DBF565F2E}">
            <xm:f>$Z$8='Assessment Details'!$Q$23</xm:f>
            <x14:dxf>
              <font>
                <color theme="0"/>
              </font>
              <fill>
                <patternFill>
                  <bgColor theme="0"/>
                </patternFill>
              </fill>
              <border>
                <left/>
                <right/>
                <top/>
                <bottom/>
              </border>
            </x14:dxf>
          </x14:cfRule>
          <xm:sqref>U151</xm:sqref>
        </x14:conditionalFormatting>
        <x14:conditionalFormatting xmlns:xm="http://schemas.microsoft.com/office/excel/2006/main">
          <x14:cfRule type="expression" priority="53" id="{9F1446FF-EF02-41B9-82C6-D7BAC1237BF2}">
            <xm:f>$Z$8='Assessment Details'!$Q$23</xm:f>
            <x14:dxf>
              <font>
                <color theme="0"/>
              </font>
              <fill>
                <patternFill>
                  <bgColor theme="0"/>
                </patternFill>
              </fill>
            </x14:dxf>
          </x14:cfRule>
          <xm:sqref>U151</xm:sqref>
        </x14:conditionalFormatting>
        <x14:conditionalFormatting xmlns:xm="http://schemas.microsoft.com/office/excel/2006/main">
          <x14:cfRule type="expression" priority="52" id="{03603EAF-29D2-4CE3-97E4-DEF60729EBFE}">
            <xm:f>$Z$8='Assessment Details'!$Q$23</xm:f>
            <x14:dxf>
              <border>
                <left style="thin">
                  <color theme="0"/>
                </left>
                <right style="thin">
                  <color theme="0"/>
                </right>
                <top style="thin">
                  <color theme="0"/>
                </top>
                <bottom style="thin">
                  <color theme="0"/>
                </bottom>
                <vertical/>
                <horizontal/>
              </border>
            </x14:dxf>
          </x14:cfRule>
          <xm:sqref>U151</xm:sqref>
        </x14:conditionalFormatting>
        <x14:conditionalFormatting xmlns:xm="http://schemas.microsoft.com/office/excel/2006/main">
          <x14:cfRule type="expression" priority="44" id="{55F5A51F-75CA-45F9-9165-8F11F4CDBE1C}">
            <xm:f>$S$8='Assessment Details'!$Q$23</xm:f>
            <x14:dxf>
              <font>
                <color theme="0"/>
              </font>
              <fill>
                <patternFill>
                  <bgColor theme="0"/>
                </patternFill>
              </fill>
              <border>
                <left/>
                <right/>
                <top/>
                <bottom/>
                <vertical/>
                <horizontal/>
              </border>
            </x14:dxf>
          </x14:cfRule>
          <xm:sqref>N108</xm:sqref>
        </x14:conditionalFormatting>
        <x14:conditionalFormatting xmlns:xm="http://schemas.microsoft.com/office/excel/2006/main">
          <x14:cfRule type="expression" priority="46" id="{4D01DAE4-212E-4DED-A916-22EBFEB3DFC8}">
            <xm:f>$S$8='Assessment Details'!$Q$23</xm:f>
            <x14:dxf>
              <font>
                <color theme="0"/>
              </font>
              <fill>
                <patternFill>
                  <bgColor theme="0"/>
                </patternFill>
              </fill>
              <border>
                <vertical/>
                <horizontal/>
              </border>
            </x14:dxf>
          </x14:cfRule>
          <xm:sqref>N108</xm:sqref>
        </x14:conditionalFormatting>
        <x14:conditionalFormatting xmlns:xm="http://schemas.microsoft.com/office/excel/2006/main">
          <x14:cfRule type="expression" priority="45" id="{F4314185-D2A0-4278-B824-A5680490493E}">
            <xm:f>$S$8='Assessment Details'!$Q$23</xm:f>
            <x14:dxf>
              <border>
                <left style="thin">
                  <color theme="0"/>
                </left>
                <right style="thin">
                  <color theme="0"/>
                </right>
                <top style="thin">
                  <color theme="0"/>
                </top>
                <bottom style="thin">
                  <color theme="0"/>
                </bottom>
                <vertical/>
                <horizontal/>
              </border>
            </x14:dxf>
          </x14:cfRule>
          <xm:sqref>N108</xm:sqref>
        </x14:conditionalFormatting>
        <x14:conditionalFormatting xmlns:xm="http://schemas.microsoft.com/office/excel/2006/main">
          <x14:cfRule type="expression" priority="39" id="{9A7DA104-7852-41A0-B413-5ADC0E4143AF}">
            <xm:f>$Z$8='Assessment Details'!$Q$23</xm:f>
            <x14:dxf>
              <font>
                <color theme="0"/>
              </font>
              <fill>
                <patternFill>
                  <bgColor theme="0"/>
                </patternFill>
              </fill>
              <border>
                <left/>
                <right/>
                <top/>
                <bottom/>
              </border>
            </x14:dxf>
          </x14:cfRule>
          <xm:sqref>U108</xm:sqref>
        </x14:conditionalFormatting>
        <x14:conditionalFormatting xmlns:xm="http://schemas.microsoft.com/office/excel/2006/main">
          <x14:cfRule type="expression" priority="41" id="{F7596359-9DFB-41E7-9DA6-1C852E1418CC}">
            <xm:f>$Z$8='Assessment Details'!$Q$23</xm:f>
            <x14:dxf>
              <font>
                <color theme="0"/>
              </font>
              <fill>
                <patternFill>
                  <bgColor theme="0"/>
                </patternFill>
              </fill>
            </x14:dxf>
          </x14:cfRule>
          <xm:sqref>U108</xm:sqref>
        </x14:conditionalFormatting>
        <x14:conditionalFormatting xmlns:xm="http://schemas.microsoft.com/office/excel/2006/main">
          <x14:cfRule type="expression" priority="40" id="{A9DFE456-60D4-4BE9-B0ED-DA081A0271D1}">
            <xm:f>$Z$8='Assessment Details'!$Q$23</xm:f>
            <x14:dxf>
              <border>
                <left style="thin">
                  <color theme="0"/>
                </left>
                <right style="thin">
                  <color theme="0"/>
                </right>
                <top style="thin">
                  <color theme="0"/>
                </top>
                <bottom style="thin">
                  <color theme="0"/>
                </bottom>
                <vertical/>
                <horizontal/>
              </border>
            </x14:dxf>
          </x14:cfRule>
          <xm:sqref>U108</xm:sqref>
        </x14:conditionalFormatting>
        <x14:conditionalFormatting xmlns:xm="http://schemas.microsoft.com/office/excel/2006/main">
          <x14:cfRule type="expression" priority="34" id="{17C4D998-A4A6-4445-8DF3-2384226DAAA7}">
            <xm:f>$S$8='Assessment Details'!$Q$23</xm:f>
            <x14:dxf>
              <font>
                <color theme="0"/>
              </font>
              <fill>
                <patternFill>
                  <bgColor theme="0"/>
                </patternFill>
              </fill>
              <border>
                <left/>
                <right/>
                <top/>
                <bottom/>
                <vertical/>
                <horizontal/>
              </border>
            </x14:dxf>
          </x14:cfRule>
          <xm:sqref>N107</xm:sqref>
        </x14:conditionalFormatting>
        <x14:conditionalFormatting xmlns:xm="http://schemas.microsoft.com/office/excel/2006/main">
          <x14:cfRule type="expression" priority="36" id="{D72D6DDA-FFAC-4B57-841F-7DDC82B1A981}">
            <xm:f>$S$8='Assessment Details'!$Q$23</xm:f>
            <x14:dxf>
              <font>
                <color theme="0"/>
              </font>
              <fill>
                <patternFill>
                  <bgColor theme="0"/>
                </patternFill>
              </fill>
              <border>
                <vertical/>
                <horizontal/>
              </border>
            </x14:dxf>
          </x14:cfRule>
          <xm:sqref>N107</xm:sqref>
        </x14:conditionalFormatting>
        <x14:conditionalFormatting xmlns:xm="http://schemas.microsoft.com/office/excel/2006/main">
          <x14:cfRule type="expression" priority="35" id="{7ED2FCC3-E8E9-45FD-A850-83F42A77D77E}">
            <xm:f>$S$8='Assessment Details'!$Q$23</xm:f>
            <x14:dxf>
              <border>
                <left style="thin">
                  <color theme="0"/>
                </left>
                <right style="thin">
                  <color theme="0"/>
                </right>
                <top style="thin">
                  <color theme="0"/>
                </top>
                <bottom style="thin">
                  <color theme="0"/>
                </bottom>
                <vertical/>
                <horizontal/>
              </border>
            </x14:dxf>
          </x14:cfRule>
          <xm:sqref>N107</xm:sqref>
        </x14:conditionalFormatting>
        <x14:conditionalFormatting xmlns:xm="http://schemas.microsoft.com/office/excel/2006/main">
          <x14:cfRule type="expression" priority="29" id="{30DBE182-A183-4E95-8D5A-A9F398975206}">
            <xm:f>$Z$8='Assessment Details'!$Q$23</xm:f>
            <x14:dxf>
              <font>
                <color theme="0"/>
              </font>
              <fill>
                <patternFill>
                  <bgColor theme="0"/>
                </patternFill>
              </fill>
              <border>
                <left/>
                <right/>
                <top/>
                <bottom/>
              </border>
            </x14:dxf>
          </x14:cfRule>
          <xm:sqref>U107</xm:sqref>
        </x14:conditionalFormatting>
        <x14:conditionalFormatting xmlns:xm="http://schemas.microsoft.com/office/excel/2006/main">
          <x14:cfRule type="expression" priority="31" id="{547E3762-46C6-4BA6-BFF0-8EE8D88B0A50}">
            <xm:f>$Z$8='Assessment Details'!$Q$23</xm:f>
            <x14:dxf>
              <font>
                <color theme="0"/>
              </font>
              <fill>
                <patternFill>
                  <bgColor theme="0"/>
                </patternFill>
              </fill>
            </x14:dxf>
          </x14:cfRule>
          <xm:sqref>U107</xm:sqref>
        </x14:conditionalFormatting>
        <x14:conditionalFormatting xmlns:xm="http://schemas.microsoft.com/office/excel/2006/main">
          <x14:cfRule type="expression" priority="30" id="{603D39AB-06BB-41A3-BB2F-ABC5ADEE2C7A}">
            <xm:f>$Z$8='Assessment Details'!$Q$23</xm:f>
            <x14:dxf>
              <border>
                <left style="thin">
                  <color theme="0"/>
                </left>
                <right style="thin">
                  <color theme="0"/>
                </right>
                <top style="thin">
                  <color theme="0"/>
                </top>
                <bottom style="thin">
                  <color theme="0"/>
                </bottom>
                <vertical/>
                <horizontal/>
              </border>
            </x14:dxf>
          </x14:cfRule>
          <xm:sqref>U107</xm:sqref>
        </x14:conditionalFormatting>
        <x14:conditionalFormatting xmlns:xm="http://schemas.microsoft.com/office/excel/2006/main">
          <x14:cfRule type="expression" priority="21" id="{849A8466-D8C1-4B61-8AA6-4698AF9FCD54}">
            <xm:f>$S$8='Assessment Details'!$Q$23</xm:f>
            <x14:dxf>
              <font>
                <color theme="0"/>
              </font>
              <fill>
                <patternFill>
                  <bgColor theme="0"/>
                </patternFill>
              </fill>
              <border>
                <vertical/>
                <horizontal/>
              </border>
            </x14:dxf>
          </x14:cfRule>
          <xm:sqref>N73</xm:sqref>
        </x14:conditionalFormatting>
        <x14:conditionalFormatting xmlns:xm="http://schemas.microsoft.com/office/excel/2006/main">
          <x14:cfRule type="expression" priority="20" id="{8C074CB1-BA94-41FF-A649-EC937A625293}">
            <xm:f>$S$8='Assessment Details'!$Q$23</xm:f>
            <x14:dxf>
              <border>
                <left style="thin">
                  <color theme="0"/>
                </left>
                <right style="thin">
                  <color theme="0"/>
                </right>
                <top style="thin">
                  <color theme="0"/>
                </top>
                <bottom style="thin">
                  <color theme="0"/>
                </bottom>
                <vertical/>
                <horizontal/>
              </border>
            </x14:dxf>
          </x14:cfRule>
          <xm:sqref>N73</xm:sqref>
        </x14:conditionalFormatting>
        <x14:conditionalFormatting xmlns:xm="http://schemas.microsoft.com/office/excel/2006/main">
          <x14:cfRule type="expression" priority="15" id="{82DF2499-5636-4B92-A762-A526E947EE3D}">
            <xm:f>$Z$8='Assessment Details'!$Q$23</xm:f>
            <x14:dxf>
              <font>
                <color theme="0"/>
              </font>
              <fill>
                <patternFill>
                  <bgColor theme="0"/>
                </patternFill>
              </fill>
              <border>
                <left/>
                <right/>
                <top/>
                <bottom/>
              </border>
            </x14:dxf>
          </x14:cfRule>
          <xm:sqref>U73</xm:sqref>
        </x14:conditionalFormatting>
        <x14:conditionalFormatting xmlns:xm="http://schemas.microsoft.com/office/excel/2006/main">
          <x14:cfRule type="expression" priority="17" id="{B451593A-A3FE-45A5-B0B9-43CF112E7272}">
            <xm:f>$Z$8='Assessment Details'!$Q$23</xm:f>
            <x14:dxf>
              <font>
                <color theme="0"/>
              </font>
              <fill>
                <patternFill>
                  <bgColor theme="0"/>
                </patternFill>
              </fill>
            </x14:dxf>
          </x14:cfRule>
          <xm:sqref>U73</xm:sqref>
        </x14:conditionalFormatting>
        <x14:conditionalFormatting xmlns:xm="http://schemas.microsoft.com/office/excel/2006/main">
          <x14:cfRule type="expression" priority="16" id="{877C1688-8564-4B30-983E-DAC1950B36A6}">
            <xm:f>$Z$8='Assessment Details'!$Q$23</xm:f>
            <x14:dxf>
              <border>
                <left style="thin">
                  <color theme="0"/>
                </left>
                <right style="thin">
                  <color theme="0"/>
                </right>
                <top style="thin">
                  <color theme="0"/>
                </top>
                <bottom style="thin">
                  <color theme="0"/>
                </bottom>
                <vertical/>
                <horizontal/>
              </border>
            </x14:dxf>
          </x14:cfRule>
          <xm:sqref>U73</xm:sqref>
        </x14:conditionalFormatting>
        <x14:conditionalFormatting xmlns:xm="http://schemas.microsoft.com/office/excel/2006/main">
          <x14:cfRule type="expression" priority="6" id="{58F0E0ED-237B-4C40-AC70-7B1D3F13DFA6}">
            <xm:f>$S$8='Assessment Details'!$Q$23</xm:f>
            <x14:dxf>
              <font>
                <color theme="0"/>
              </font>
              <fill>
                <patternFill>
                  <bgColor theme="0"/>
                </patternFill>
              </fill>
              <border>
                <vertical/>
                <horizontal/>
              </border>
            </x14:dxf>
          </x14:cfRule>
          <xm:sqref>N14</xm:sqref>
        </x14:conditionalFormatting>
        <x14:conditionalFormatting xmlns:xm="http://schemas.microsoft.com/office/excel/2006/main">
          <x14:cfRule type="expression" priority="5" id="{8C6A9165-970F-4F76-9C7F-33E5F6DE2FCC}">
            <xm:f>$S$8='Assessment Details'!$Q$23</xm:f>
            <x14:dxf>
              <border>
                <left style="thin">
                  <color theme="0"/>
                </left>
                <right style="thin">
                  <color theme="0"/>
                </right>
                <top style="thin">
                  <color theme="0"/>
                </top>
                <bottom style="thin">
                  <color theme="0"/>
                </bottom>
                <vertical/>
                <horizontal/>
              </border>
            </x14:dxf>
          </x14:cfRule>
          <xm:sqref>N14</xm:sqref>
        </x14:conditionalFormatting>
        <x14:conditionalFormatting xmlns:xm="http://schemas.microsoft.com/office/excel/2006/main">
          <x14:cfRule type="expression" priority="2" id="{21BEDC3F-B916-403B-BF07-1D8514B84438}">
            <xm:f>$Z$8='Assessment Details'!$Q$23</xm:f>
            <x14:dxf>
              <font>
                <color theme="0"/>
              </font>
              <fill>
                <patternFill>
                  <bgColor theme="0"/>
                </patternFill>
              </fill>
            </x14:dxf>
          </x14:cfRule>
          <xm:sqref>U14</xm:sqref>
        </x14:conditionalFormatting>
        <x14:conditionalFormatting xmlns:xm="http://schemas.microsoft.com/office/excel/2006/main">
          <x14:cfRule type="expression" priority="1" id="{B8E80BDA-D640-4AC6-9EA0-6356D572873E}">
            <xm:f>$Z$8='Assessment Details'!$Q$23</xm:f>
            <x14:dxf>
              <border>
                <left style="thin">
                  <color theme="0"/>
                </left>
                <right style="thin">
                  <color theme="0"/>
                </right>
                <top style="thin">
                  <color theme="0"/>
                </top>
                <bottom style="thin">
                  <color theme="0"/>
                </bottom>
                <vertical/>
                <horizontal/>
              </border>
            </x14:dxf>
          </x14:cfRule>
          <xm:sqref>U14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EDB0E46E-A690-4E9E-907B-0DEBCF537ED9}">
          <x14:formula1>
            <xm:f>'Assessment Details'!$R$51:$R$53</xm:f>
          </x14:formula1>
          <xm:sqref>G238 U238:W238 N238:P238</xm:sqref>
        </x14:dataValidation>
        <x14:dataValidation type="list" allowBlank="1" showInputMessage="1" showErrorMessage="1" xr:uid="{7BAB7664-1657-4388-A667-A1B92AB1F5BD}">
          <x14:formula1>
            <xm:f>'Assessment Details'!$S$51:$S$54</xm:f>
          </x14:formula1>
          <xm:sqref>G248 U248:W248 N248:P248</xm:sqref>
        </x14:dataValidation>
        <x14:dataValidation type="list" allowBlank="1" showInputMessage="1" showErrorMessage="1" xr:uid="{069A6983-AA53-496E-9371-44617596A3B1}">
          <x14:formula1>
            <xm:f>'Assessment Details'!$Y$51:$Y$54</xm:f>
          </x14:formula1>
          <xm:sqref>G261 U261:W261 N261:P261</xm:sqref>
        </x14:dataValidation>
        <x14:dataValidation type="list" allowBlank="1" showInputMessage="1" showErrorMessage="1" xr:uid="{015A6392-D46D-4C91-823D-B5853B933604}">
          <x14:formula1>
            <xm:f>'Assessment Details'!$V$51:$V$53</xm:f>
          </x14:formula1>
          <xm:sqref>G256 U256:W256 N256:P256</xm:sqref>
        </x14:dataValidation>
        <x14:dataValidation type="list" allowBlank="1" showInputMessage="1" showErrorMessage="1" xr:uid="{0FCCE17B-5FA7-4A25-8B07-FF398FDC2B42}">
          <x14:formula1>
            <xm:f>'Assessment Details'!$T$51:$T$53</xm:f>
          </x14:formula1>
          <xm:sqref>G249 U249:W249 N249:P249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C7407-5863-4540-8005-DCA0DF80D7D1}">
  <dimension ref="B3:F158"/>
  <sheetViews>
    <sheetView workbookViewId="0">
      <selection activeCell="I36" sqref="I36"/>
    </sheetView>
  </sheetViews>
  <sheetFormatPr defaultColWidth="8.7109375" defaultRowHeight="15" x14ac:dyDescent="0.25"/>
  <cols>
    <col min="2" max="2" width="15.140625" bestFit="1" customWidth="1"/>
    <col min="3" max="3" width="71.85546875" bestFit="1" customWidth="1"/>
    <col min="5" max="5" width="22.42578125" bestFit="1" customWidth="1"/>
  </cols>
  <sheetData>
    <row r="3" spans="2:6" x14ac:dyDescent="0.25">
      <c r="B3" s="1327" t="s">
        <v>341</v>
      </c>
      <c r="C3" s="1327" t="s">
        <v>342</v>
      </c>
      <c r="D3" s="1329" t="s">
        <v>830</v>
      </c>
      <c r="E3" s="1327" t="s">
        <v>831</v>
      </c>
      <c r="F3" s="1328" t="s">
        <v>344</v>
      </c>
    </row>
    <row r="4" spans="2:6" x14ac:dyDescent="0.25">
      <c r="B4" s="1327"/>
      <c r="C4" s="1327"/>
      <c r="D4" s="1329"/>
      <c r="E4" s="1327"/>
      <c r="F4" s="1328"/>
    </row>
    <row r="5" spans="2:6" x14ac:dyDescent="0.25">
      <c r="B5" s="1327"/>
      <c r="C5" s="1327"/>
      <c r="D5" s="1329"/>
      <c r="E5" s="1327"/>
      <c r="F5" s="1328"/>
    </row>
    <row r="6" spans="2:6" x14ac:dyDescent="0.25">
      <c r="B6" s="882" t="s">
        <v>345</v>
      </c>
      <c r="C6" s="882"/>
      <c r="D6" s="891"/>
      <c r="E6" s="882"/>
      <c r="F6" s="883"/>
    </row>
    <row r="7" spans="2:6" x14ac:dyDescent="0.25">
      <c r="B7" s="1330" t="s">
        <v>91</v>
      </c>
      <c r="C7" s="1315" t="s">
        <v>832</v>
      </c>
      <c r="D7" s="1316"/>
      <c r="E7" s="1316"/>
      <c r="F7" s="1317"/>
    </row>
    <row r="8" spans="2:6" x14ac:dyDescent="0.25">
      <c r="B8" s="1331"/>
      <c r="C8" s="887" t="s">
        <v>585</v>
      </c>
      <c r="D8" s="892">
        <v>1</v>
      </c>
      <c r="E8" s="902">
        <v>1</v>
      </c>
      <c r="F8" s="903" t="s">
        <v>346</v>
      </c>
    </row>
    <row r="9" spans="2:6" x14ac:dyDescent="0.25">
      <c r="B9" s="1331"/>
      <c r="C9" s="887" t="s">
        <v>586</v>
      </c>
      <c r="D9" s="892">
        <v>1</v>
      </c>
      <c r="E9" s="902">
        <v>1</v>
      </c>
      <c r="F9" s="903" t="s">
        <v>346</v>
      </c>
    </row>
    <row r="10" spans="2:6" x14ac:dyDescent="0.25">
      <c r="B10" s="1331"/>
      <c r="C10" s="887" t="s">
        <v>587</v>
      </c>
      <c r="D10" s="892">
        <v>2</v>
      </c>
      <c r="E10" s="902">
        <v>2</v>
      </c>
      <c r="F10" s="903" t="s">
        <v>346</v>
      </c>
    </row>
    <row r="11" spans="2:6" x14ac:dyDescent="0.25">
      <c r="B11" s="1332"/>
      <c r="C11" s="887" t="s">
        <v>588</v>
      </c>
      <c r="D11" s="892">
        <v>1</v>
      </c>
      <c r="E11" s="902">
        <v>1</v>
      </c>
      <c r="F11" s="903" t="s">
        <v>346</v>
      </c>
    </row>
    <row r="12" spans="2:6" x14ac:dyDescent="0.25">
      <c r="B12" s="1330" t="s">
        <v>92</v>
      </c>
      <c r="C12" s="1315" t="s">
        <v>833</v>
      </c>
      <c r="D12" s="1316"/>
      <c r="E12" s="1316"/>
      <c r="F12" s="1317"/>
    </row>
    <row r="13" spans="2:6" x14ac:dyDescent="0.25">
      <c r="B13" s="1331"/>
      <c r="C13" s="887" t="s">
        <v>590</v>
      </c>
      <c r="D13" s="892">
        <v>2</v>
      </c>
      <c r="E13" s="904">
        <v>2</v>
      </c>
      <c r="F13" s="903" t="s">
        <v>346</v>
      </c>
    </row>
    <row r="14" spans="2:6" x14ac:dyDescent="0.25">
      <c r="B14" s="1332"/>
      <c r="C14" s="887" t="s">
        <v>591</v>
      </c>
      <c r="D14" s="892">
        <v>1</v>
      </c>
      <c r="E14" s="904">
        <v>1</v>
      </c>
      <c r="F14" s="903" t="s">
        <v>346</v>
      </c>
    </row>
    <row r="15" spans="2:6" x14ac:dyDescent="0.25">
      <c r="B15" s="1330" t="s">
        <v>93</v>
      </c>
      <c r="C15" s="1315" t="s">
        <v>347</v>
      </c>
      <c r="D15" s="1316"/>
      <c r="E15" s="1316"/>
      <c r="F15" s="1317"/>
    </row>
    <row r="16" spans="2:6" x14ac:dyDescent="0.25">
      <c r="B16" s="1331"/>
      <c r="C16" s="887" t="s">
        <v>592</v>
      </c>
      <c r="D16" s="892">
        <v>1</v>
      </c>
      <c r="E16" s="902">
        <v>1</v>
      </c>
      <c r="F16" s="903" t="s">
        <v>346</v>
      </c>
    </row>
    <row r="17" spans="2:6" x14ac:dyDescent="0.25">
      <c r="B17" s="1331"/>
      <c r="C17" s="887" t="s">
        <v>593</v>
      </c>
      <c r="D17" s="892">
        <v>1</v>
      </c>
      <c r="E17" s="902">
        <v>1</v>
      </c>
      <c r="F17" s="903" t="s">
        <v>346</v>
      </c>
    </row>
    <row r="18" spans="2:6" x14ac:dyDescent="0.25">
      <c r="B18" s="1331"/>
      <c r="C18" s="887" t="s">
        <v>594</v>
      </c>
      <c r="D18" s="892">
        <v>2</v>
      </c>
      <c r="E18" s="902">
        <v>2</v>
      </c>
      <c r="F18" s="903" t="s">
        <v>346</v>
      </c>
    </row>
    <row r="19" spans="2:6" x14ac:dyDescent="0.25">
      <c r="B19" s="1332"/>
      <c r="C19" s="887" t="s">
        <v>595</v>
      </c>
      <c r="D19" s="892">
        <v>1</v>
      </c>
      <c r="E19" s="902">
        <v>1</v>
      </c>
      <c r="F19" s="903" t="s">
        <v>346</v>
      </c>
    </row>
    <row r="20" spans="2:6" x14ac:dyDescent="0.25">
      <c r="B20" s="1330" t="s">
        <v>94</v>
      </c>
      <c r="C20" s="1315" t="s">
        <v>348</v>
      </c>
      <c r="D20" s="1316"/>
      <c r="E20" s="1316"/>
      <c r="F20" s="1317"/>
    </row>
    <row r="21" spans="2:6" x14ac:dyDescent="0.25">
      <c r="B21" s="1331"/>
      <c r="C21" s="887" t="s">
        <v>596</v>
      </c>
      <c r="D21" s="892">
        <v>1</v>
      </c>
      <c r="E21" s="902">
        <v>1</v>
      </c>
      <c r="F21" s="903" t="s">
        <v>346</v>
      </c>
    </row>
    <row r="22" spans="2:6" x14ac:dyDescent="0.25">
      <c r="B22" s="1331"/>
      <c r="C22" s="887" t="s">
        <v>597</v>
      </c>
      <c r="D22" s="892">
        <v>1</v>
      </c>
      <c r="E22" s="902">
        <v>1</v>
      </c>
      <c r="F22" s="903" t="s">
        <v>346</v>
      </c>
    </row>
    <row r="23" spans="2:6" x14ac:dyDescent="0.25">
      <c r="B23" s="1332"/>
      <c r="C23" s="887" t="s">
        <v>598</v>
      </c>
      <c r="D23" s="892">
        <v>1</v>
      </c>
      <c r="E23" s="902">
        <v>1</v>
      </c>
      <c r="F23" s="903" t="s">
        <v>346</v>
      </c>
    </row>
    <row r="24" spans="2:6" x14ac:dyDescent="0.25">
      <c r="B24" s="1333" t="s">
        <v>95</v>
      </c>
      <c r="C24" s="1316" t="s">
        <v>349</v>
      </c>
      <c r="D24" s="1316"/>
      <c r="E24" s="1316"/>
      <c r="F24" s="1317"/>
    </row>
    <row r="25" spans="2:6" x14ac:dyDescent="0.25">
      <c r="B25" s="1334"/>
      <c r="C25" s="887" t="s">
        <v>599</v>
      </c>
      <c r="D25" s="892">
        <v>1</v>
      </c>
      <c r="E25" s="902">
        <v>1</v>
      </c>
      <c r="F25" s="903" t="s">
        <v>346</v>
      </c>
    </row>
    <row r="26" spans="2:6" x14ac:dyDescent="0.25">
      <c r="B26" s="1334"/>
      <c r="C26" s="887" t="s">
        <v>600</v>
      </c>
      <c r="D26" s="892">
        <v>1</v>
      </c>
      <c r="E26" s="902">
        <v>1</v>
      </c>
      <c r="F26" s="903" t="s">
        <v>346</v>
      </c>
    </row>
    <row r="27" spans="2:6" x14ac:dyDescent="0.25">
      <c r="B27" s="1334"/>
      <c r="C27" s="887" t="s">
        <v>601</v>
      </c>
      <c r="D27" s="892">
        <v>1</v>
      </c>
      <c r="E27" s="902">
        <v>1</v>
      </c>
      <c r="F27" s="903" t="s">
        <v>346</v>
      </c>
    </row>
    <row r="28" spans="2:6" x14ac:dyDescent="0.25">
      <c r="B28" s="885" t="s">
        <v>350</v>
      </c>
      <c r="C28" s="884"/>
      <c r="D28" s="893"/>
      <c r="E28" s="885"/>
      <c r="F28" s="905"/>
    </row>
    <row r="29" spans="2:6" x14ac:dyDescent="0.25">
      <c r="B29" s="1321" t="s">
        <v>116</v>
      </c>
      <c r="C29" s="1335" t="s">
        <v>834</v>
      </c>
      <c r="D29" s="1336"/>
      <c r="E29" s="1336"/>
      <c r="F29" s="1337"/>
    </row>
    <row r="30" spans="2:6" x14ac:dyDescent="0.25">
      <c r="B30" s="1322"/>
      <c r="C30" s="889" t="s">
        <v>602</v>
      </c>
      <c r="D30" s="892">
        <v>3</v>
      </c>
      <c r="E30" s="906">
        <v>3</v>
      </c>
      <c r="F30" s="907" t="s">
        <v>346</v>
      </c>
    </row>
    <row r="31" spans="2:6" x14ac:dyDescent="0.25">
      <c r="B31" s="1322"/>
      <c r="C31" s="889" t="s">
        <v>603</v>
      </c>
      <c r="D31" s="892">
        <v>1</v>
      </c>
      <c r="E31" s="908">
        <v>1</v>
      </c>
      <c r="F31" s="909" t="s">
        <v>346</v>
      </c>
    </row>
    <row r="32" spans="2:6" x14ac:dyDescent="0.25">
      <c r="B32" s="1322"/>
      <c r="C32" s="889" t="s">
        <v>604</v>
      </c>
      <c r="D32" s="892">
        <v>1</v>
      </c>
      <c r="E32" s="908">
        <v>1</v>
      </c>
      <c r="F32" s="909" t="s">
        <v>346</v>
      </c>
    </row>
    <row r="33" spans="2:6" x14ac:dyDescent="0.25">
      <c r="B33" s="1322"/>
      <c r="C33" s="889" t="s">
        <v>605</v>
      </c>
      <c r="D33" s="892" t="s">
        <v>234</v>
      </c>
      <c r="E33" s="908" t="s">
        <v>234</v>
      </c>
      <c r="F33" s="909" t="s">
        <v>351</v>
      </c>
    </row>
    <row r="34" spans="2:6" x14ac:dyDescent="0.25">
      <c r="B34" s="1323"/>
      <c r="C34" s="889" t="s">
        <v>606</v>
      </c>
      <c r="D34" s="892">
        <v>1</v>
      </c>
      <c r="E34" s="902">
        <v>1</v>
      </c>
      <c r="F34" s="907" t="s">
        <v>351</v>
      </c>
    </row>
    <row r="35" spans="2:6" x14ac:dyDescent="0.25">
      <c r="B35" s="1321" t="s">
        <v>117</v>
      </c>
      <c r="C35" s="1335" t="s">
        <v>835</v>
      </c>
      <c r="D35" s="1336"/>
      <c r="E35" s="1336"/>
      <c r="F35" s="1337"/>
    </row>
    <row r="36" spans="2:6" x14ac:dyDescent="0.25">
      <c r="B36" s="1322"/>
      <c r="C36" s="889" t="s">
        <v>608</v>
      </c>
      <c r="D36" s="892">
        <v>1</v>
      </c>
      <c r="E36" s="902">
        <v>1</v>
      </c>
      <c r="F36" s="907"/>
    </row>
    <row r="37" spans="2:6" x14ac:dyDescent="0.25">
      <c r="B37" s="1322"/>
      <c r="C37" s="888" t="s">
        <v>609</v>
      </c>
      <c r="D37" s="892">
        <v>2</v>
      </c>
      <c r="E37" s="902">
        <v>2</v>
      </c>
      <c r="F37" s="907" t="s">
        <v>346</v>
      </c>
    </row>
    <row r="38" spans="2:6" x14ac:dyDescent="0.25">
      <c r="B38" s="1323"/>
      <c r="C38" s="888" t="s">
        <v>610</v>
      </c>
      <c r="D38" s="892">
        <v>1</v>
      </c>
      <c r="E38" s="910">
        <v>1</v>
      </c>
      <c r="F38" s="907" t="s">
        <v>346</v>
      </c>
    </row>
    <row r="39" spans="2:6" x14ac:dyDescent="0.25">
      <c r="B39" s="1321" t="s">
        <v>118</v>
      </c>
      <c r="C39" s="1335" t="s">
        <v>836</v>
      </c>
      <c r="D39" s="1336"/>
      <c r="E39" s="1336"/>
      <c r="F39" s="1337"/>
    </row>
    <row r="40" spans="2:6" x14ac:dyDescent="0.25">
      <c r="B40" s="1322"/>
      <c r="C40" s="889" t="s">
        <v>611</v>
      </c>
      <c r="D40" s="892">
        <v>1</v>
      </c>
      <c r="E40" s="902">
        <v>1</v>
      </c>
      <c r="F40" s="907" t="s">
        <v>346</v>
      </c>
    </row>
    <row r="41" spans="2:6" x14ac:dyDescent="0.25">
      <c r="B41" s="1322"/>
      <c r="C41" s="888" t="s">
        <v>612</v>
      </c>
      <c r="D41" s="892">
        <v>1</v>
      </c>
      <c r="E41" s="902">
        <v>1</v>
      </c>
      <c r="F41" s="907" t="s">
        <v>346</v>
      </c>
    </row>
    <row r="42" spans="2:6" x14ac:dyDescent="0.25">
      <c r="B42" s="1323"/>
      <c r="C42" s="888" t="s">
        <v>837</v>
      </c>
      <c r="D42" s="892">
        <v>1</v>
      </c>
      <c r="E42" s="902">
        <v>1</v>
      </c>
      <c r="F42" s="907" t="s">
        <v>346</v>
      </c>
    </row>
    <row r="43" spans="2:6" x14ac:dyDescent="0.25">
      <c r="B43" s="890" t="s">
        <v>120</v>
      </c>
      <c r="C43" s="895" t="s">
        <v>615</v>
      </c>
      <c r="D43" s="892">
        <v>3</v>
      </c>
      <c r="E43" s="906">
        <v>3</v>
      </c>
      <c r="F43" s="907" t="s">
        <v>346</v>
      </c>
    </row>
    <row r="44" spans="2:6" x14ac:dyDescent="0.25">
      <c r="B44" s="1324" t="s">
        <v>121</v>
      </c>
      <c r="C44" s="1335" t="s">
        <v>838</v>
      </c>
      <c r="D44" s="1336"/>
      <c r="E44" s="1336"/>
      <c r="F44" s="1337"/>
    </row>
    <row r="45" spans="2:6" x14ac:dyDescent="0.25">
      <c r="B45" s="1325"/>
      <c r="C45" s="889" t="s">
        <v>839</v>
      </c>
      <c r="D45" s="892">
        <v>1</v>
      </c>
      <c r="E45" s="906">
        <v>1</v>
      </c>
      <c r="F45" s="911" t="s">
        <v>346</v>
      </c>
    </row>
    <row r="46" spans="2:6" x14ac:dyDescent="0.25">
      <c r="B46" s="1326"/>
      <c r="C46" s="888" t="s">
        <v>840</v>
      </c>
      <c r="D46" s="892">
        <v>1</v>
      </c>
      <c r="E46" s="906">
        <v>1</v>
      </c>
      <c r="F46" s="911" t="s">
        <v>346</v>
      </c>
    </row>
    <row r="47" spans="2:6" x14ac:dyDescent="0.25">
      <c r="B47" s="890" t="s">
        <v>123</v>
      </c>
      <c r="C47" s="895" t="s">
        <v>352</v>
      </c>
      <c r="D47" s="892" t="s">
        <v>234</v>
      </c>
      <c r="E47" s="902" t="s">
        <v>234</v>
      </c>
      <c r="F47" s="907" t="s">
        <v>351</v>
      </c>
    </row>
    <row r="48" spans="2:6" x14ac:dyDescent="0.25">
      <c r="B48" s="886"/>
      <c r="C48" s="884"/>
      <c r="D48" s="893"/>
      <c r="E48" s="885"/>
      <c r="F48" s="905"/>
    </row>
    <row r="49" spans="2:6" x14ac:dyDescent="0.25">
      <c r="B49" s="885" t="s">
        <v>353</v>
      </c>
      <c r="C49" s="884"/>
      <c r="D49" s="893"/>
      <c r="E49" s="885"/>
      <c r="F49" s="905"/>
    </row>
    <row r="50" spans="2:6" x14ac:dyDescent="0.25">
      <c r="B50" s="1324" t="s">
        <v>134</v>
      </c>
      <c r="C50" s="1335" t="s">
        <v>841</v>
      </c>
      <c r="D50" s="1336"/>
      <c r="E50" s="1336"/>
      <c r="F50" s="1337"/>
    </row>
    <row r="51" spans="2:6" x14ac:dyDescent="0.25">
      <c r="B51" s="1325"/>
      <c r="C51" s="889" t="s">
        <v>619</v>
      </c>
      <c r="D51" s="892">
        <v>2</v>
      </c>
      <c r="E51" s="902">
        <v>2</v>
      </c>
      <c r="F51" s="903" t="s">
        <v>346</v>
      </c>
    </row>
    <row r="52" spans="2:6" x14ac:dyDescent="0.25">
      <c r="B52" s="1325"/>
      <c r="C52" s="888" t="s">
        <v>620</v>
      </c>
      <c r="D52" s="892">
        <v>1</v>
      </c>
      <c r="E52" s="902">
        <v>1</v>
      </c>
      <c r="F52" s="903" t="s">
        <v>346</v>
      </c>
    </row>
    <row r="53" spans="2:6" x14ac:dyDescent="0.25">
      <c r="B53" s="1325"/>
      <c r="C53" s="888" t="s">
        <v>621</v>
      </c>
      <c r="D53" s="892">
        <v>4</v>
      </c>
      <c r="E53" s="902">
        <v>4</v>
      </c>
      <c r="F53" s="903" t="s">
        <v>346</v>
      </c>
    </row>
    <row r="54" spans="2:6" x14ac:dyDescent="0.25">
      <c r="B54" s="1325"/>
      <c r="C54" s="888" t="s">
        <v>622</v>
      </c>
      <c r="D54" s="892">
        <v>1</v>
      </c>
      <c r="E54" s="902">
        <v>1</v>
      </c>
      <c r="F54" s="903" t="s">
        <v>346</v>
      </c>
    </row>
    <row r="55" spans="2:6" x14ac:dyDescent="0.25">
      <c r="B55" s="1326"/>
      <c r="C55" s="888" t="s">
        <v>623</v>
      </c>
      <c r="D55" s="892">
        <v>4</v>
      </c>
      <c r="E55" s="902">
        <v>4</v>
      </c>
      <c r="F55" s="903" t="s">
        <v>346</v>
      </c>
    </row>
    <row r="56" spans="2:6" x14ac:dyDescent="0.25">
      <c r="B56" s="1324" t="s">
        <v>135</v>
      </c>
      <c r="C56" s="1338" t="s">
        <v>842</v>
      </c>
      <c r="D56" s="1339"/>
      <c r="E56" s="1339"/>
      <c r="F56" s="1340"/>
    </row>
    <row r="57" spans="2:6" x14ac:dyDescent="0.25">
      <c r="B57" s="1325"/>
      <c r="C57" s="888" t="s">
        <v>624</v>
      </c>
      <c r="D57" s="892">
        <v>1</v>
      </c>
      <c r="E57" s="902">
        <v>1</v>
      </c>
      <c r="F57" s="912" t="s">
        <v>346</v>
      </c>
    </row>
    <row r="58" spans="2:6" x14ac:dyDescent="0.25">
      <c r="B58" s="1325"/>
      <c r="C58" s="888" t="s">
        <v>625</v>
      </c>
      <c r="D58" s="892">
        <v>1</v>
      </c>
      <c r="E58" s="902">
        <v>1</v>
      </c>
      <c r="F58" s="912" t="s">
        <v>346</v>
      </c>
    </row>
    <row r="59" spans="2:6" x14ac:dyDescent="0.25">
      <c r="B59" s="1326"/>
      <c r="C59" s="888" t="s">
        <v>626</v>
      </c>
      <c r="D59" s="892" t="s">
        <v>234</v>
      </c>
      <c r="E59" s="902" t="s">
        <v>234</v>
      </c>
      <c r="F59" s="912" t="s">
        <v>351</v>
      </c>
    </row>
    <row r="60" spans="2:6" x14ac:dyDescent="0.25">
      <c r="B60" s="890" t="s">
        <v>136</v>
      </c>
      <c r="C60" s="901" t="s">
        <v>355</v>
      </c>
      <c r="D60" s="892">
        <v>1</v>
      </c>
      <c r="E60" s="902">
        <v>1</v>
      </c>
      <c r="F60" s="912" t="s">
        <v>346</v>
      </c>
    </row>
    <row r="61" spans="2:6" x14ac:dyDescent="0.25">
      <c r="B61" s="1324" t="s">
        <v>138</v>
      </c>
      <c r="C61" s="1315" t="s">
        <v>356</v>
      </c>
      <c r="D61" s="1316"/>
      <c r="E61" s="1316"/>
      <c r="F61" s="1317"/>
    </row>
    <row r="62" spans="2:6" x14ac:dyDescent="0.25">
      <c r="B62" s="1325"/>
      <c r="C62" s="888" t="s">
        <v>629</v>
      </c>
      <c r="D62" s="892">
        <v>1</v>
      </c>
      <c r="E62" s="908" t="s">
        <v>234</v>
      </c>
      <c r="F62" s="913" t="s">
        <v>351</v>
      </c>
    </row>
    <row r="63" spans="2:6" x14ac:dyDescent="0.25">
      <c r="B63" s="1326"/>
      <c r="C63" s="888" t="s">
        <v>630</v>
      </c>
      <c r="D63" s="892">
        <v>1</v>
      </c>
      <c r="E63" s="908" t="s">
        <v>234</v>
      </c>
      <c r="F63" s="913" t="s">
        <v>351</v>
      </c>
    </row>
    <row r="64" spans="2:6" x14ac:dyDescent="0.25">
      <c r="B64" s="1324" t="s">
        <v>139</v>
      </c>
      <c r="C64" s="1315" t="s">
        <v>357</v>
      </c>
      <c r="D64" s="1316"/>
      <c r="E64" s="1316"/>
      <c r="F64" s="1317"/>
    </row>
    <row r="65" spans="2:6" x14ac:dyDescent="0.25">
      <c r="B65" s="1325"/>
      <c r="C65" s="888" t="s">
        <v>631</v>
      </c>
      <c r="D65" s="892">
        <v>1</v>
      </c>
      <c r="E65" s="902">
        <v>1</v>
      </c>
      <c r="F65" s="903" t="s">
        <v>346</v>
      </c>
    </row>
    <row r="66" spans="2:6" x14ac:dyDescent="0.25">
      <c r="B66" s="1326"/>
      <c r="C66" s="888" t="s">
        <v>632</v>
      </c>
      <c r="D66" s="892">
        <v>1</v>
      </c>
      <c r="E66" s="902">
        <v>1</v>
      </c>
      <c r="F66" s="903" t="s">
        <v>346</v>
      </c>
    </row>
    <row r="67" spans="2:6" x14ac:dyDescent="0.25">
      <c r="B67" s="1324" t="s">
        <v>140</v>
      </c>
      <c r="C67" s="1315" t="s">
        <v>358</v>
      </c>
      <c r="D67" s="1316"/>
      <c r="E67" s="1316"/>
      <c r="F67" s="1317"/>
    </row>
    <row r="68" spans="2:6" x14ac:dyDescent="0.25">
      <c r="B68" s="1325"/>
      <c r="C68" s="888" t="s">
        <v>633</v>
      </c>
      <c r="D68" s="892">
        <v>1</v>
      </c>
      <c r="E68" s="902" t="s">
        <v>234</v>
      </c>
      <c r="F68" s="903" t="s">
        <v>351</v>
      </c>
    </row>
    <row r="69" spans="2:6" x14ac:dyDescent="0.25">
      <c r="B69" s="1326"/>
      <c r="C69" s="888" t="s">
        <v>634</v>
      </c>
      <c r="D69" s="892">
        <v>4</v>
      </c>
      <c r="E69" s="902" t="s">
        <v>234</v>
      </c>
      <c r="F69" s="903" t="s">
        <v>351</v>
      </c>
    </row>
    <row r="70" spans="2:6" x14ac:dyDescent="0.25">
      <c r="B70" s="890" t="s">
        <v>141</v>
      </c>
      <c r="C70" s="895" t="s">
        <v>359</v>
      </c>
      <c r="D70" s="892">
        <v>2</v>
      </c>
      <c r="E70" s="902">
        <v>2</v>
      </c>
      <c r="F70" s="903" t="s">
        <v>346</v>
      </c>
    </row>
    <row r="71" spans="2:6" x14ac:dyDescent="0.25">
      <c r="B71" s="886"/>
      <c r="C71" s="884"/>
      <c r="D71" s="893"/>
      <c r="E71" s="885"/>
      <c r="F71" s="905"/>
    </row>
    <row r="72" spans="2:6" x14ac:dyDescent="0.25">
      <c r="B72" s="885" t="s">
        <v>360</v>
      </c>
      <c r="C72" s="884"/>
      <c r="D72" s="893"/>
      <c r="E72" s="885"/>
      <c r="F72" s="905"/>
    </row>
    <row r="73" spans="2:6" x14ac:dyDescent="0.25">
      <c r="B73" s="1324" t="s">
        <v>146</v>
      </c>
      <c r="C73" s="1315" t="s">
        <v>843</v>
      </c>
      <c r="D73" s="1316"/>
      <c r="E73" s="1316"/>
      <c r="F73" s="1316"/>
    </row>
    <row r="74" spans="2:6" x14ac:dyDescent="0.25">
      <c r="B74" s="1325"/>
      <c r="C74" s="888" t="s">
        <v>636</v>
      </c>
      <c r="D74" s="892">
        <v>2</v>
      </c>
      <c r="E74" s="902">
        <v>2</v>
      </c>
      <c r="F74" s="911" t="s">
        <v>346</v>
      </c>
    </row>
    <row r="75" spans="2:6" x14ac:dyDescent="0.25">
      <c r="B75" s="1326"/>
      <c r="C75" s="888" t="s">
        <v>637</v>
      </c>
      <c r="D75" s="892">
        <v>1</v>
      </c>
      <c r="E75" s="914">
        <v>1</v>
      </c>
      <c r="F75" s="915" t="s">
        <v>346</v>
      </c>
    </row>
    <row r="76" spans="2:6" x14ac:dyDescent="0.25">
      <c r="B76" s="890" t="s">
        <v>147</v>
      </c>
      <c r="C76" s="895" t="s">
        <v>844</v>
      </c>
      <c r="D76" s="892">
        <v>10</v>
      </c>
      <c r="E76" s="914">
        <v>10</v>
      </c>
      <c r="F76" s="915" t="s">
        <v>346</v>
      </c>
    </row>
    <row r="77" spans="2:6" x14ac:dyDescent="0.25">
      <c r="B77" s="886"/>
      <c r="C77" s="884"/>
      <c r="D77" s="893"/>
      <c r="E77" s="885"/>
      <c r="F77" s="905"/>
    </row>
    <row r="78" spans="2:6" x14ac:dyDescent="0.25">
      <c r="B78" s="885" t="s">
        <v>363</v>
      </c>
      <c r="C78" s="884"/>
      <c r="D78" s="893"/>
      <c r="E78" s="885"/>
      <c r="F78" s="905"/>
    </row>
    <row r="79" spans="2:6" x14ac:dyDescent="0.25">
      <c r="B79" s="890" t="s">
        <v>168</v>
      </c>
      <c r="C79" s="895" t="s">
        <v>364</v>
      </c>
      <c r="D79" s="892">
        <v>5</v>
      </c>
      <c r="E79" s="914">
        <v>1</v>
      </c>
      <c r="F79" s="915" t="s">
        <v>346</v>
      </c>
    </row>
    <row r="80" spans="2:6" x14ac:dyDescent="0.25">
      <c r="B80" s="890" t="s">
        <v>169</v>
      </c>
      <c r="C80" s="895" t="s">
        <v>365</v>
      </c>
      <c r="D80" s="892">
        <v>1</v>
      </c>
      <c r="E80" s="914">
        <v>1</v>
      </c>
      <c r="F80" s="915" t="s">
        <v>346</v>
      </c>
    </row>
    <row r="81" spans="2:6" x14ac:dyDescent="0.25">
      <c r="B81" s="890" t="s">
        <v>170</v>
      </c>
      <c r="C81" s="1315" t="s">
        <v>366</v>
      </c>
      <c r="D81" s="1316"/>
      <c r="E81" s="1316"/>
      <c r="F81" s="1316"/>
    </row>
    <row r="82" spans="2:6" x14ac:dyDescent="0.25">
      <c r="B82" s="890"/>
      <c r="C82" s="888" t="s">
        <v>642</v>
      </c>
      <c r="D82" s="892">
        <v>1</v>
      </c>
      <c r="E82" s="914">
        <v>1</v>
      </c>
      <c r="F82" s="915" t="s">
        <v>346</v>
      </c>
    </row>
    <row r="83" spans="2:6" x14ac:dyDescent="0.25">
      <c r="B83" s="890"/>
      <c r="C83" s="888" t="s">
        <v>643</v>
      </c>
      <c r="D83" s="892">
        <v>1</v>
      </c>
      <c r="E83" s="914">
        <v>1</v>
      </c>
      <c r="F83" s="915" t="s">
        <v>346</v>
      </c>
    </row>
    <row r="84" spans="2:6" x14ac:dyDescent="0.25">
      <c r="B84" s="890"/>
      <c r="C84" s="888" t="s">
        <v>644</v>
      </c>
      <c r="D84" s="892" t="s">
        <v>234</v>
      </c>
      <c r="E84" s="914" t="s">
        <v>234</v>
      </c>
      <c r="F84" s="915" t="s">
        <v>351</v>
      </c>
    </row>
    <row r="85" spans="2:6" x14ac:dyDescent="0.25">
      <c r="B85" s="890" t="s">
        <v>171</v>
      </c>
      <c r="C85" s="895" t="s">
        <v>367</v>
      </c>
      <c r="D85" s="892">
        <v>1</v>
      </c>
      <c r="E85" s="914">
        <v>1</v>
      </c>
      <c r="F85" s="915" t="s">
        <v>346</v>
      </c>
    </row>
    <row r="86" spans="2:6" x14ac:dyDescent="0.25">
      <c r="B86" s="886"/>
      <c r="C86" s="884"/>
      <c r="D86" s="893"/>
      <c r="E86" s="885"/>
      <c r="F86" s="905"/>
    </row>
    <row r="87" spans="2:6" x14ac:dyDescent="0.25">
      <c r="B87" s="885" t="s">
        <v>368</v>
      </c>
      <c r="C87" s="884"/>
      <c r="D87" s="893"/>
      <c r="E87" s="885"/>
      <c r="F87" s="905"/>
    </row>
    <row r="88" spans="2:6" x14ac:dyDescent="0.25">
      <c r="B88" s="890" t="s">
        <v>172</v>
      </c>
      <c r="C88" s="1315" t="s">
        <v>845</v>
      </c>
      <c r="D88" s="1316"/>
      <c r="E88" s="1316"/>
      <c r="F88" s="1317"/>
    </row>
    <row r="89" spans="2:6" x14ac:dyDescent="0.25">
      <c r="B89" s="890"/>
      <c r="C89" s="888" t="s">
        <v>646</v>
      </c>
      <c r="D89" s="892">
        <v>3</v>
      </c>
      <c r="E89" s="902">
        <v>3</v>
      </c>
      <c r="F89" s="903" t="s">
        <v>346</v>
      </c>
    </row>
    <row r="90" spans="2:6" x14ac:dyDescent="0.25">
      <c r="B90" s="890"/>
      <c r="C90" s="888" t="s">
        <v>647</v>
      </c>
      <c r="D90" s="892">
        <v>2</v>
      </c>
      <c r="E90" s="902">
        <v>2</v>
      </c>
      <c r="F90" s="903" t="s">
        <v>346</v>
      </c>
    </row>
    <row r="91" spans="2:6" x14ac:dyDescent="0.25">
      <c r="B91" s="890" t="s">
        <v>477</v>
      </c>
      <c r="C91" s="1315" t="s">
        <v>846</v>
      </c>
      <c r="D91" s="1316"/>
      <c r="E91" s="1316"/>
      <c r="F91" s="1317"/>
    </row>
    <row r="92" spans="2:6" x14ac:dyDescent="0.25">
      <c r="B92" s="890"/>
      <c r="C92" s="888" t="s">
        <v>649</v>
      </c>
      <c r="D92" s="892">
        <v>1</v>
      </c>
      <c r="E92" s="902">
        <v>1</v>
      </c>
      <c r="F92" s="903" t="s">
        <v>346</v>
      </c>
    </row>
    <row r="93" spans="2:6" x14ac:dyDescent="0.25">
      <c r="B93" s="890"/>
      <c r="C93" s="888" t="s">
        <v>650</v>
      </c>
      <c r="D93" s="892">
        <v>2</v>
      </c>
      <c r="E93" s="902">
        <v>1</v>
      </c>
      <c r="F93" s="903" t="s">
        <v>346</v>
      </c>
    </row>
    <row r="94" spans="2:6" x14ac:dyDescent="0.25">
      <c r="B94" s="890" t="s">
        <v>173</v>
      </c>
      <c r="C94" s="1315" t="s">
        <v>847</v>
      </c>
      <c r="D94" s="1316"/>
      <c r="E94" s="1316"/>
      <c r="F94" s="1317"/>
    </row>
    <row r="95" spans="2:6" x14ac:dyDescent="0.25">
      <c r="B95" s="890"/>
      <c r="C95" s="888" t="s">
        <v>652</v>
      </c>
      <c r="D95" s="892">
        <v>1</v>
      </c>
      <c r="E95" s="902">
        <v>1</v>
      </c>
      <c r="F95" s="903" t="s">
        <v>346</v>
      </c>
    </row>
    <row r="96" spans="2:6" x14ac:dyDescent="0.25">
      <c r="B96" s="890"/>
      <c r="C96" s="888" t="s">
        <v>653</v>
      </c>
      <c r="D96" s="892">
        <v>2</v>
      </c>
      <c r="E96" s="902">
        <v>1</v>
      </c>
      <c r="F96" s="903" t="s">
        <v>346</v>
      </c>
    </row>
    <row r="97" spans="2:6" x14ac:dyDescent="0.25">
      <c r="B97" s="890" t="s">
        <v>174</v>
      </c>
      <c r="C97" s="1315" t="s">
        <v>369</v>
      </c>
      <c r="D97" s="1316"/>
      <c r="E97" s="1316"/>
      <c r="F97" s="1317"/>
    </row>
    <row r="98" spans="2:6" x14ac:dyDescent="0.25">
      <c r="B98" s="894"/>
      <c r="C98" s="888" t="s">
        <v>655</v>
      </c>
      <c r="D98" s="892">
        <v>1</v>
      </c>
      <c r="E98" s="902">
        <v>1</v>
      </c>
      <c r="F98" s="903" t="s">
        <v>346</v>
      </c>
    </row>
    <row r="99" spans="2:6" x14ac:dyDescent="0.25">
      <c r="B99" s="894"/>
      <c r="C99" s="888" t="s">
        <v>656</v>
      </c>
      <c r="D99" s="892">
        <v>1</v>
      </c>
      <c r="E99" s="902" t="s">
        <v>234</v>
      </c>
      <c r="F99" s="903" t="s">
        <v>351</v>
      </c>
    </row>
    <row r="100" spans="2:6" x14ac:dyDescent="0.25">
      <c r="B100" s="894"/>
      <c r="C100" s="888" t="s">
        <v>657</v>
      </c>
      <c r="D100" s="892">
        <v>2</v>
      </c>
      <c r="E100" s="902">
        <v>2</v>
      </c>
      <c r="F100" s="903" t="s">
        <v>346</v>
      </c>
    </row>
    <row r="101" spans="2:6" x14ac:dyDescent="0.25">
      <c r="B101" s="890" t="s">
        <v>175</v>
      </c>
      <c r="C101" s="1315" t="s">
        <v>659</v>
      </c>
      <c r="D101" s="1316"/>
      <c r="E101" s="1316"/>
      <c r="F101" s="1317"/>
    </row>
    <row r="102" spans="2:6" x14ac:dyDescent="0.25">
      <c r="B102" s="894"/>
      <c r="C102" s="888" t="s">
        <v>658</v>
      </c>
      <c r="D102" s="892">
        <v>1</v>
      </c>
      <c r="E102" s="902">
        <v>1</v>
      </c>
      <c r="F102" s="903" t="s">
        <v>346</v>
      </c>
    </row>
    <row r="103" spans="2:6" x14ac:dyDescent="0.25">
      <c r="B103" s="894"/>
      <c r="C103" s="888" t="s">
        <v>659</v>
      </c>
      <c r="D103" s="892">
        <v>1</v>
      </c>
      <c r="E103" s="902">
        <v>1</v>
      </c>
      <c r="F103" s="903" t="s">
        <v>346</v>
      </c>
    </row>
    <row r="104" spans="2:6" x14ac:dyDescent="0.25">
      <c r="B104" s="894"/>
      <c r="C104" s="888" t="s">
        <v>660</v>
      </c>
      <c r="D104" s="892">
        <v>2</v>
      </c>
      <c r="E104" s="902">
        <v>2</v>
      </c>
      <c r="F104" s="903" t="s">
        <v>346</v>
      </c>
    </row>
    <row r="105" spans="2:6" x14ac:dyDescent="0.25">
      <c r="B105" s="890" t="s">
        <v>478</v>
      </c>
      <c r="C105" s="1315" t="s">
        <v>848</v>
      </c>
      <c r="D105" s="1316"/>
      <c r="E105" s="1316"/>
      <c r="F105" s="1317"/>
    </row>
    <row r="106" spans="2:6" x14ac:dyDescent="0.25">
      <c r="B106" s="894"/>
      <c r="C106" s="888" t="s">
        <v>661</v>
      </c>
      <c r="D106" s="892">
        <v>1</v>
      </c>
      <c r="E106" s="902">
        <v>1</v>
      </c>
      <c r="F106" s="903" t="s">
        <v>346</v>
      </c>
    </row>
    <row r="107" spans="2:6" x14ac:dyDescent="0.25">
      <c r="B107" s="894"/>
      <c r="C107" s="888" t="s">
        <v>662</v>
      </c>
      <c r="D107" s="892">
        <v>1</v>
      </c>
      <c r="E107" s="902">
        <v>1</v>
      </c>
      <c r="F107" s="903" t="s">
        <v>346</v>
      </c>
    </row>
    <row r="108" spans="2:6" x14ac:dyDescent="0.25">
      <c r="B108" s="894"/>
      <c r="C108" s="888" t="s">
        <v>849</v>
      </c>
      <c r="D108" s="892">
        <v>2</v>
      </c>
      <c r="E108" s="902">
        <v>2</v>
      </c>
      <c r="F108" s="903" t="s">
        <v>346</v>
      </c>
    </row>
    <row r="109" spans="2:6" x14ac:dyDescent="0.25">
      <c r="B109" s="885" t="s">
        <v>370</v>
      </c>
      <c r="C109" s="884"/>
      <c r="D109" s="893"/>
      <c r="E109" s="885"/>
      <c r="F109" s="905"/>
    </row>
    <row r="110" spans="2:6" x14ac:dyDescent="0.25">
      <c r="B110" s="898" t="s">
        <v>176</v>
      </c>
      <c r="C110" s="1320" t="s">
        <v>371</v>
      </c>
      <c r="D110" s="1318"/>
      <c r="E110" s="1318"/>
      <c r="F110" s="1319"/>
    </row>
    <row r="111" spans="2:6" x14ac:dyDescent="0.25">
      <c r="B111" s="890"/>
      <c r="C111" s="888" t="s">
        <v>664</v>
      </c>
      <c r="D111" s="892">
        <v>1</v>
      </c>
      <c r="E111" s="902">
        <v>1</v>
      </c>
      <c r="F111" s="903" t="s">
        <v>346</v>
      </c>
    </row>
    <row r="112" spans="2:6" x14ac:dyDescent="0.25">
      <c r="B112" s="890"/>
      <c r="C112" s="888" t="s">
        <v>665</v>
      </c>
      <c r="D112" s="892">
        <v>2</v>
      </c>
      <c r="E112" s="902">
        <v>2</v>
      </c>
      <c r="F112" s="903" t="s">
        <v>346</v>
      </c>
    </row>
    <row r="113" spans="2:6" x14ac:dyDescent="0.25">
      <c r="B113" s="890"/>
      <c r="C113" s="888" t="s">
        <v>666</v>
      </c>
      <c r="D113" s="892">
        <v>2</v>
      </c>
      <c r="E113" s="902">
        <v>2</v>
      </c>
      <c r="F113" s="903" t="s">
        <v>346</v>
      </c>
    </row>
    <row r="114" spans="2:6" x14ac:dyDescent="0.25">
      <c r="B114" s="898" t="s">
        <v>372</v>
      </c>
      <c r="C114" s="895" t="s">
        <v>373</v>
      </c>
      <c r="D114" s="892">
        <v>1</v>
      </c>
      <c r="E114" s="902">
        <v>1</v>
      </c>
      <c r="F114" s="903" t="s">
        <v>346</v>
      </c>
    </row>
    <row r="115" spans="2:6" x14ac:dyDescent="0.25">
      <c r="B115" s="898" t="s">
        <v>374</v>
      </c>
      <c r="C115" s="895" t="s">
        <v>373</v>
      </c>
      <c r="D115" s="892" t="s">
        <v>234</v>
      </c>
      <c r="E115" s="902" t="s">
        <v>234</v>
      </c>
      <c r="F115" s="903" t="s">
        <v>351</v>
      </c>
    </row>
    <row r="116" spans="2:6" x14ac:dyDescent="0.25">
      <c r="B116" s="898" t="s">
        <v>178</v>
      </c>
      <c r="C116" s="895" t="s">
        <v>375</v>
      </c>
      <c r="D116" s="892">
        <v>1</v>
      </c>
      <c r="E116" s="902">
        <v>1</v>
      </c>
      <c r="F116" s="903" t="s">
        <v>351</v>
      </c>
    </row>
    <row r="117" spans="2:6" x14ac:dyDescent="0.25">
      <c r="B117" s="886"/>
      <c r="C117" s="884"/>
      <c r="D117" s="893"/>
      <c r="E117" s="885"/>
      <c r="F117" s="905"/>
    </row>
    <row r="118" spans="2:6" x14ac:dyDescent="0.25">
      <c r="B118" s="885" t="s">
        <v>376</v>
      </c>
      <c r="C118" s="884"/>
      <c r="D118" s="893"/>
      <c r="E118" s="885"/>
      <c r="F118" s="905"/>
    </row>
    <row r="119" spans="2:6" x14ac:dyDescent="0.25">
      <c r="B119" s="898" t="s">
        <v>179</v>
      </c>
      <c r="C119" s="895" t="s">
        <v>377</v>
      </c>
      <c r="D119" s="892" t="s">
        <v>234</v>
      </c>
      <c r="E119" s="902" t="s">
        <v>234</v>
      </c>
      <c r="F119" s="903" t="s">
        <v>351</v>
      </c>
    </row>
    <row r="120" spans="2:6" x14ac:dyDescent="0.25">
      <c r="B120" s="898" t="s">
        <v>180</v>
      </c>
      <c r="C120" s="1315" t="s">
        <v>850</v>
      </c>
      <c r="D120" s="1316"/>
      <c r="E120" s="1316"/>
      <c r="F120" s="1317"/>
    </row>
    <row r="121" spans="2:6" x14ac:dyDescent="0.25">
      <c r="B121" s="890"/>
      <c r="C121" s="888" t="s">
        <v>672</v>
      </c>
      <c r="D121" s="892">
        <v>1</v>
      </c>
      <c r="E121" s="902">
        <v>1</v>
      </c>
      <c r="F121" s="903" t="s">
        <v>346</v>
      </c>
    </row>
    <row r="122" spans="2:6" x14ac:dyDescent="0.25">
      <c r="B122" s="890"/>
      <c r="C122" s="888" t="s">
        <v>673</v>
      </c>
      <c r="D122" s="892">
        <v>1</v>
      </c>
      <c r="E122" s="902">
        <v>1</v>
      </c>
      <c r="F122" s="903" t="s">
        <v>346</v>
      </c>
    </row>
    <row r="123" spans="2:6" x14ac:dyDescent="0.25">
      <c r="B123" s="898" t="s">
        <v>851</v>
      </c>
      <c r="C123" s="1320" t="s">
        <v>852</v>
      </c>
      <c r="D123" s="1318"/>
      <c r="E123" s="1318"/>
      <c r="F123" s="1319"/>
    </row>
    <row r="124" spans="2:6" x14ac:dyDescent="0.25">
      <c r="B124" s="890"/>
      <c r="C124" s="888" t="s">
        <v>675</v>
      </c>
      <c r="D124" s="892">
        <v>1</v>
      </c>
      <c r="E124" s="902">
        <v>1</v>
      </c>
      <c r="F124" s="903" t="s">
        <v>346</v>
      </c>
    </row>
    <row r="125" spans="2:6" x14ac:dyDescent="0.25">
      <c r="B125" s="890"/>
      <c r="C125" s="888" t="s">
        <v>676</v>
      </c>
      <c r="D125" s="892">
        <v>2</v>
      </c>
      <c r="E125" s="902">
        <v>1</v>
      </c>
      <c r="F125" s="903" t="s">
        <v>346</v>
      </c>
    </row>
    <row r="126" spans="2:6" x14ac:dyDescent="0.25">
      <c r="B126" s="898" t="s">
        <v>181</v>
      </c>
      <c r="C126" s="1315" t="s">
        <v>853</v>
      </c>
      <c r="D126" s="1316"/>
      <c r="E126" s="1316"/>
      <c r="F126" s="1317"/>
    </row>
    <row r="127" spans="2:6" x14ac:dyDescent="0.25">
      <c r="B127" s="890"/>
      <c r="C127" s="888" t="s">
        <v>678</v>
      </c>
      <c r="D127" s="892">
        <v>1</v>
      </c>
      <c r="E127" s="902">
        <v>1</v>
      </c>
      <c r="F127" s="903" t="s">
        <v>346</v>
      </c>
    </row>
    <row r="128" spans="2:6" x14ac:dyDescent="0.25">
      <c r="B128" s="890"/>
      <c r="C128" s="888" t="s">
        <v>679</v>
      </c>
      <c r="D128" s="892">
        <v>3</v>
      </c>
      <c r="E128" s="902">
        <v>3</v>
      </c>
      <c r="F128" s="903" t="s">
        <v>346</v>
      </c>
    </row>
    <row r="129" spans="2:6" x14ac:dyDescent="0.25">
      <c r="B129" s="898" t="s">
        <v>182</v>
      </c>
      <c r="C129" s="1315" t="s">
        <v>378</v>
      </c>
      <c r="D129" s="1316"/>
      <c r="E129" s="1316"/>
      <c r="F129" s="1317"/>
    </row>
    <row r="130" spans="2:6" x14ac:dyDescent="0.25">
      <c r="B130" s="890"/>
      <c r="C130" s="888" t="s">
        <v>681</v>
      </c>
      <c r="D130" s="892">
        <v>1</v>
      </c>
      <c r="E130" s="902">
        <v>1</v>
      </c>
      <c r="F130" s="903" t="s">
        <v>346</v>
      </c>
    </row>
    <row r="131" spans="2:6" x14ac:dyDescent="0.25">
      <c r="B131" s="890"/>
      <c r="C131" s="888" t="s">
        <v>682</v>
      </c>
      <c r="D131" s="892">
        <v>1</v>
      </c>
      <c r="E131" s="902">
        <v>1</v>
      </c>
      <c r="F131" s="903" t="s">
        <v>346</v>
      </c>
    </row>
    <row r="132" spans="2:6" x14ac:dyDescent="0.25">
      <c r="B132" s="898" t="s">
        <v>183</v>
      </c>
      <c r="C132" s="895" t="s">
        <v>854</v>
      </c>
      <c r="D132" s="892">
        <v>1</v>
      </c>
      <c r="E132" s="902" t="s">
        <v>234</v>
      </c>
      <c r="F132" s="903" t="s">
        <v>351</v>
      </c>
    </row>
    <row r="133" spans="2:6" x14ac:dyDescent="0.25">
      <c r="B133" s="899" t="s">
        <v>855</v>
      </c>
      <c r="C133" s="900" t="s">
        <v>856</v>
      </c>
      <c r="D133" s="892">
        <v>2</v>
      </c>
      <c r="E133" s="902">
        <v>2</v>
      </c>
      <c r="F133" s="903" t="s">
        <v>346</v>
      </c>
    </row>
    <row r="134" spans="2:6" x14ac:dyDescent="0.25">
      <c r="B134" s="899" t="s">
        <v>857</v>
      </c>
      <c r="C134" s="1318" t="s">
        <v>858</v>
      </c>
      <c r="D134" s="1318"/>
      <c r="E134" s="1318"/>
      <c r="F134" s="1319"/>
    </row>
    <row r="135" spans="2:6" x14ac:dyDescent="0.25">
      <c r="B135" s="894"/>
      <c r="C135" s="888" t="s">
        <v>687</v>
      </c>
      <c r="D135" s="892">
        <v>1</v>
      </c>
      <c r="E135" s="902">
        <v>1</v>
      </c>
      <c r="F135" s="903" t="s">
        <v>346</v>
      </c>
    </row>
    <row r="136" spans="2:6" x14ac:dyDescent="0.25">
      <c r="B136" s="894"/>
      <c r="C136" s="888" t="s">
        <v>688</v>
      </c>
      <c r="D136" s="892">
        <v>1</v>
      </c>
      <c r="E136" s="902">
        <v>1</v>
      </c>
      <c r="F136" s="903" t="s">
        <v>346</v>
      </c>
    </row>
    <row r="137" spans="2:6" x14ac:dyDescent="0.25">
      <c r="B137" s="894"/>
      <c r="C137" s="896"/>
      <c r="D137" s="897"/>
      <c r="E137" s="916"/>
      <c r="F137" s="905"/>
    </row>
    <row r="138" spans="2:6" x14ac:dyDescent="0.25">
      <c r="B138" s="885" t="s">
        <v>379</v>
      </c>
      <c r="C138" s="884"/>
      <c r="D138" s="893"/>
      <c r="E138" s="885"/>
      <c r="F138" s="905"/>
    </row>
    <row r="139" spans="2:6" x14ac:dyDescent="0.25">
      <c r="B139" s="898" t="s">
        <v>380</v>
      </c>
      <c r="C139" s="895" t="s">
        <v>381</v>
      </c>
      <c r="D139" s="892">
        <v>3</v>
      </c>
      <c r="E139" s="902">
        <v>3</v>
      </c>
      <c r="F139" s="903" t="s">
        <v>346</v>
      </c>
    </row>
    <row r="140" spans="2:6" x14ac:dyDescent="0.25">
      <c r="B140" s="898" t="s">
        <v>382</v>
      </c>
      <c r="C140" s="895" t="s">
        <v>859</v>
      </c>
      <c r="D140" s="892">
        <v>2</v>
      </c>
      <c r="E140" s="902">
        <v>2</v>
      </c>
      <c r="F140" s="903" t="s">
        <v>346</v>
      </c>
    </row>
    <row r="141" spans="2:6" x14ac:dyDescent="0.25">
      <c r="B141" s="898" t="s">
        <v>384</v>
      </c>
      <c r="C141" s="895" t="s">
        <v>385</v>
      </c>
      <c r="D141" s="892">
        <v>1</v>
      </c>
      <c r="E141" s="902">
        <v>1</v>
      </c>
      <c r="F141" s="903" t="s">
        <v>346</v>
      </c>
    </row>
    <row r="142" spans="2:6" x14ac:dyDescent="0.25">
      <c r="B142" s="898" t="s">
        <v>386</v>
      </c>
      <c r="C142" s="895" t="s">
        <v>387</v>
      </c>
      <c r="D142" s="892">
        <v>1</v>
      </c>
      <c r="E142" s="902">
        <v>1</v>
      </c>
      <c r="F142" s="903" t="s">
        <v>346</v>
      </c>
    </row>
    <row r="143" spans="2:6" x14ac:dyDescent="0.25">
      <c r="B143" s="886"/>
      <c r="C143" s="884"/>
      <c r="D143" s="893"/>
      <c r="E143" s="885"/>
      <c r="F143" s="905"/>
    </row>
    <row r="144" spans="2:6" x14ac:dyDescent="0.25">
      <c r="B144" s="885" t="s">
        <v>388</v>
      </c>
      <c r="C144" s="884"/>
      <c r="D144" s="893"/>
      <c r="E144" s="885"/>
      <c r="F144" s="905"/>
    </row>
    <row r="145" spans="2:6" x14ac:dyDescent="0.25">
      <c r="B145" s="890" t="s">
        <v>547</v>
      </c>
      <c r="C145" s="888" t="s">
        <v>860</v>
      </c>
      <c r="D145" s="892">
        <v>1</v>
      </c>
      <c r="E145" s="902">
        <v>1</v>
      </c>
      <c r="F145" s="903" t="s">
        <v>346</v>
      </c>
    </row>
    <row r="146" spans="2:6" x14ac:dyDescent="0.25">
      <c r="B146" s="890" t="s">
        <v>861</v>
      </c>
      <c r="C146" s="888" t="s">
        <v>862</v>
      </c>
      <c r="D146" s="892">
        <v>1</v>
      </c>
      <c r="E146" s="902">
        <v>1</v>
      </c>
      <c r="F146" s="903" t="s">
        <v>346</v>
      </c>
    </row>
    <row r="147" spans="2:6" x14ac:dyDescent="0.25">
      <c r="B147" s="890" t="s">
        <v>861</v>
      </c>
      <c r="C147" s="888" t="s">
        <v>863</v>
      </c>
      <c r="D147" s="892">
        <v>1</v>
      </c>
      <c r="E147" s="902">
        <v>1</v>
      </c>
      <c r="F147" s="903" t="s">
        <v>346</v>
      </c>
    </row>
    <row r="148" spans="2:6" x14ac:dyDescent="0.25">
      <c r="B148" s="890" t="s">
        <v>541</v>
      </c>
      <c r="C148" s="888" t="s">
        <v>864</v>
      </c>
      <c r="D148" s="892">
        <v>1</v>
      </c>
      <c r="E148" s="902">
        <v>1</v>
      </c>
      <c r="F148" s="903" t="s">
        <v>351</v>
      </c>
    </row>
    <row r="149" spans="2:6" x14ac:dyDescent="0.25">
      <c r="B149" s="890" t="s">
        <v>572</v>
      </c>
      <c r="C149" s="888" t="s">
        <v>865</v>
      </c>
      <c r="D149" s="892">
        <v>1</v>
      </c>
      <c r="E149" s="902">
        <v>1</v>
      </c>
      <c r="F149" s="903" t="s">
        <v>346</v>
      </c>
    </row>
    <row r="150" spans="2:6" x14ac:dyDescent="0.25">
      <c r="B150" s="890" t="s">
        <v>572</v>
      </c>
      <c r="C150" s="888" t="s">
        <v>866</v>
      </c>
      <c r="D150" s="892">
        <v>1</v>
      </c>
      <c r="E150" s="902">
        <v>1</v>
      </c>
      <c r="F150" s="903" t="s">
        <v>346</v>
      </c>
    </row>
    <row r="151" spans="2:6" x14ac:dyDescent="0.25">
      <c r="B151" s="890" t="s">
        <v>867</v>
      </c>
      <c r="C151" s="888" t="s">
        <v>868</v>
      </c>
      <c r="D151" s="892">
        <v>1</v>
      </c>
      <c r="E151" s="902">
        <v>1</v>
      </c>
      <c r="F151" s="903" t="s">
        <v>346</v>
      </c>
    </row>
    <row r="152" spans="2:6" x14ac:dyDescent="0.25">
      <c r="B152" s="890" t="s">
        <v>4</v>
      </c>
      <c r="C152" s="888" t="s">
        <v>869</v>
      </c>
      <c r="D152" s="892">
        <v>1</v>
      </c>
      <c r="E152" s="902">
        <v>1</v>
      </c>
      <c r="F152" s="903" t="s">
        <v>346</v>
      </c>
    </row>
    <row r="153" spans="2:6" x14ac:dyDescent="0.25">
      <c r="B153" s="890" t="s">
        <v>550</v>
      </c>
      <c r="C153" s="888" t="s">
        <v>870</v>
      </c>
      <c r="D153" s="892">
        <v>1</v>
      </c>
      <c r="E153" s="902">
        <v>1</v>
      </c>
      <c r="F153" s="903" t="s">
        <v>346</v>
      </c>
    </row>
    <row r="154" spans="2:6" x14ac:dyDescent="0.25">
      <c r="B154" s="881" t="s">
        <v>552</v>
      </c>
      <c r="C154" s="888" t="s">
        <v>871</v>
      </c>
      <c r="D154" s="892">
        <v>1</v>
      </c>
      <c r="E154" s="902">
        <v>1</v>
      </c>
      <c r="F154" s="903" t="s">
        <v>346</v>
      </c>
    </row>
    <row r="155" spans="2:6" x14ac:dyDescent="0.25">
      <c r="B155" s="881" t="s">
        <v>872</v>
      </c>
      <c r="C155" s="888" t="s">
        <v>873</v>
      </c>
      <c r="D155" s="892">
        <v>1</v>
      </c>
      <c r="E155" s="902">
        <v>1</v>
      </c>
      <c r="F155" s="903" t="s">
        <v>346</v>
      </c>
    </row>
    <row r="156" spans="2:6" x14ac:dyDescent="0.25">
      <c r="B156" s="881" t="s">
        <v>874</v>
      </c>
      <c r="C156" s="888" t="s">
        <v>875</v>
      </c>
      <c r="D156" s="892">
        <v>1</v>
      </c>
      <c r="E156" s="902">
        <v>1</v>
      </c>
      <c r="F156" s="903" t="s">
        <v>346</v>
      </c>
    </row>
    <row r="157" spans="2:6" x14ac:dyDescent="0.25">
      <c r="B157" s="881" t="s">
        <v>876</v>
      </c>
      <c r="C157" s="888" t="s">
        <v>877</v>
      </c>
      <c r="D157" s="892">
        <v>1</v>
      </c>
      <c r="E157" s="902" t="s">
        <v>234</v>
      </c>
      <c r="F157" s="903" t="s">
        <v>351</v>
      </c>
    </row>
    <row r="158" spans="2:6" x14ac:dyDescent="0.25">
      <c r="B158" s="881" t="s">
        <v>857</v>
      </c>
      <c r="C158" s="888" t="s">
        <v>878</v>
      </c>
      <c r="D158" s="892">
        <v>1</v>
      </c>
      <c r="E158" s="902">
        <v>1</v>
      </c>
      <c r="F158" s="903" t="s">
        <v>346</v>
      </c>
    </row>
  </sheetData>
  <mergeCells count="48">
    <mergeCell ref="C88:F88"/>
    <mergeCell ref="C91:F91"/>
    <mergeCell ref="C94:F94"/>
    <mergeCell ref="C97:F97"/>
    <mergeCell ref="C101:F101"/>
    <mergeCell ref="C67:F67"/>
    <mergeCell ref="B64:B66"/>
    <mergeCell ref="B73:B75"/>
    <mergeCell ref="C73:F73"/>
    <mergeCell ref="C81:F81"/>
    <mergeCell ref="C50:F50"/>
    <mergeCell ref="C56:F56"/>
    <mergeCell ref="B61:B63"/>
    <mergeCell ref="C61:F61"/>
    <mergeCell ref="C64:F64"/>
    <mergeCell ref="C24:F24"/>
    <mergeCell ref="C29:F29"/>
    <mergeCell ref="C35:F35"/>
    <mergeCell ref="C39:F39"/>
    <mergeCell ref="C44:F44"/>
    <mergeCell ref="B35:B38"/>
    <mergeCell ref="B3:B5"/>
    <mergeCell ref="F3:F5"/>
    <mergeCell ref="D3:D5"/>
    <mergeCell ref="C3:C5"/>
    <mergeCell ref="B29:B34"/>
    <mergeCell ref="E3:E5"/>
    <mergeCell ref="B7:B11"/>
    <mergeCell ref="B12:B14"/>
    <mergeCell ref="B15:B19"/>
    <mergeCell ref="B20:B23"/>
    <mergeCell ref="B24:B27"/>
    <mergeCell ref="C15:F15"/>
    <mergeCell ref="C12:F12"/>
    <mergeCell ref="C7:F7"/>
    <mergeCell ref="C20:F20"/>
    <mergeCell ref="B39:B42"/>
    <mergeCell ref="B44:B46"/>
    <mergeCell ref="B50:B55"/>
    <mergeCell ref="B56:B59"/>
    <mergeCell ref="B67:B69"/>
    <mergeCell ref="C129:F129"/>
    <mergeCell ref="C134:F134"/>
    <mergeCell ref="C105:F105"/>
    <mergeCell ref="C110:F110"/>
    <mergeCell ref="C123:F123"/>
    <mergeCell ref="C120:F120"/>
    <mergeCell ref="C126:F1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02"/>
  <sheetViews>
    <sheetView zoomScale="90" zoomScaleNormal="90" workbookViewId="0">
      <selection activeCell="K9" sqref="K9"/>
    </sheetView>
  </sheetViews>
  <sheetFormatPr defaultColWidth="8.85546875" defaultRowHeight="15" x14ac:dyDescent="0.25"/>
  <cols>
    <col min="1" max="1" width="13.5703125" customWidth="1"/>
    <col min="2" max="2" width="7.28515625" style="367" customWidth="1"/>
    <col min="3" max="3" width="60.28515625" bestFit="1" customWidth="1"/>
    <col min="4" max="4" width="19.85546875" hidden="1" customWidth="1"/>
    <col min="5" max="5" width="27.140625" hidden="1" customWidth="1"/>
    <col min="6" max="6" width="22.5703125" style="30" hidden="1" customWidth="1"/>
    <col min="7" max="7" width="8.85546875" customWidth="1"/>
    <col min="8" max="8" width="11.140625" customWidth="1"/>
    <col min="9" max="16" width="8.85546875" customWidth="1"/>
    <col min="17" max="17" width="8.85546875" style="981" customWidth="1"/>
    <col min="18" max="18" width="8.85546875" customWidth="1"/>
    <col min="19" max="19" width="20.140625" customWidth="1"/>
    <col min="20" max="20" width="45.85546875" customWidth="1"/>
    <col min="21" max="21" width="46.28515625" customWidth="1"/>
    <col min="22" max="22" width="36.140625" customWidth="1"/>
    <col min="23" max="30" width="8.85546875" customWidth="1"/>
  </cols>
  <sheetData>
    <row r="1" spans="1:31" s="30" customFormat="1" ht="15.75" thickBot="1" x14ac:dyDescent="0.3">
      <c r="A1" s="30">
        <v>1</v>
      </c>
      <c r="B1" s="367">
        <v>2</v>
      </c>
      <c r="C1" s="30">
        <v>3</v>
      </c>
      <c r="D1" s="30">
        <v>4</v>
      </c>
      <c r="E1" s="30">
        <v>5</v>
      </c>
      <c r="F1" s="30">
        <v>6</v>
      </c>
      <c r="G1" s="30">
        <v>7</v>
      </c>
      <c r="H1" s="30">
        <v>8</v>
      </c>
      <c r="Q1" s="981"/>
    </row>
    <row r="2" spans="1:31" s="30" customFormat="1" ht="15.75" thickBot="1" x14ac:dyDescent="0.3">
      <c r="B2" s="367"/>
      <c r="C2" s="68" t="s">
        <v>251</v>
      </c>
      <c r="D2" s="68"/>
      <c r="E2" s="68"/>
      <c r="F2" s="68"/>
      <c r="G2" s="68"/>
      <c r="H2" s="363" t="s">
        <v>334</v>
      </c>
      <c r="I2" s="344" t="s">
        <v>13</v>
      </c>
      <c r="J2" s="30" t="s">
        <v>12</v>
      </c>
      <c r="Q2" s="981"/>
    </row>
    <row r="3" spans="1:31" s="30" customFormat="1" ht="15.75" thickBot="1" x14ac:dyDescent="0.3">
      <c r="B3" s="367"/>
      <c r="Q3" s="981"/>
      <c r="S3" s="30" t="s">
        <v>391</v>
      </c>
    </row>
    <row r="4" spans="1:31" s="30" customFormat="1" ht="15.75" thickBot="1" x14ac:dyDescent="0.3">
      <c r="B4" s="367"/>
      <c r="Q4" s="981"/>
      <c r="S4" s="359" t="s">
        <v>341</v>
      </c>
      <c r="T4" s="360" t="s">
        <v>342</v>
      </c>
      <c r="U4" s="360" t="s">
        <v>343</v>
      </c>
      <c r="V4" s="361"/>
      <c r="W4"/>
    </row>
    <row r="5" spans="1:31" ht="15.75" thickBot="1" x14ac:dyDescent="0.3">
      <c r="C5" s="58" t="s">
        <v>85</v>
      </c>
      <c r="D5" s="61" t="s">
        <v>247</v>
      </c>
      <c r="E5" s="66" t="s">
        <v>250</v>
      </c>
      <c r="F5" s="61" t="s">
        <v>213</v>
      </c>
      <c r="H5" s="362" t="s">
        <v>389</v>
      </c>
      <c r="N5" s="1342" t="s">
        <v>390</v>
      </c>
      <c r="O5" s="1342"/>
      <c r="S5" s="983" t="s">
        <v>345</v>
      </c>
      <c r="T5" s="983"/>
      <c r="U5" s="992"/>
      <c r="V5" s="983"/>
      <c r="W5" s="984"/>
      <c r="X5" s="1025"/>
      <c r="Y5" s="1025"/>
      <c r="Z5" s="1025"/>
      <c r="AA5" s="1025"/>
      <c r="AB5" s="1025"/>
      <c r="AC5" s="1025"/>
      <c r="AD5" s="1025"/>
    </row>
    <row r="6" spans="1:31" ht="15.75" thickBot="1" x14ac:dyDescent="0.3">
      <c r="B6" s="151"/>
      <c r="C6" s="152" t="s">
        <v>61</v>
      </c>
      <c r="D6" s="65"/>
      <c r="E6" s="65"/>
      <c r="F6" s="65"/>
      <c r="H6" s="152"/>
      <c r="N6" s="349" t="s">
        <v>345</v>
      </c>
      <c r="O6" t="b">
        <f>N6=S5</f>
        <v>1</v>
      </c>
      <c r="S6" s="1334" t="s">
        <v>91</v>
      </c>
      <c r="T6" s="1026" t="s">
        <v>832</v>
      </c>
      <c r="W6" s="1044"/>
      <c r="X6" s="1025"/>
      <c r="Y6" s="1025"/>
      <c r="Z6" s="1025"/>
      <c r="AA6" s="1025"/>
      <c r="AB6" s="1025"/>
      <c r="AC6" s="1025"/>
      <c r="AD6" s="1025"/>
    </row>
    <row r="7" spans="1:31" x14ac:dyDescent="0.25">
      <c r="A7" s="137" t="s">
        <v>91</v>
      </c>
      <c r="B7" s="832" t="s">
        <v>91</v>
      </c>
      <c r="C7" s="832" t="s">
        <v>305</v>
      </c>
      <c r="D7" s="52">
        <f>Poeng!T10</f>
        <v>5</v>
      </c>
      <c r="E7" s="51"/>
      <c r="F7" s="52">
        <f>Poeng!AB10</f>
        <v>5</v>
      </c>
      <c r="H7" s="919">
        <f>SUMIF($R$7:$R$182,A7,$U$7:$U$182)</f>
        <v>0</v>
      </c>
      <c r="I7" s="365" t="str">
        <f>IF(F7=H7,"OK","FEIL")</f>
        <v>FEIL</v>
      </c>
      <c r="N7" s="353" t="s">
        <v>91</v>
      </c>
      <c r="O7" s="348" t="b">
        <f>N7=S6</f>
        <v>1</v>
      </c>
      <c r="R7" s="981" t="s">
        <v>710</v>
      </c>
      <c r="S7" s="1334"/>
      <c r="T7" s="1108" t="s">
        <v>589</v>
      </c>
      <c r="U7" s="1047">
        <v>1</v>
      </c>
      <c r="V7" s="1057" t="s">
        <v>346</v>
      </c>
      <c r="W7" s="1044"/>
      <c r="X7" s="1025"/>
      <c r="Y7" s="1025"/>
      <c r="Z7" s="1025"/>
      <c r="AA7" s="1025"/>
      <c r="AB7" s="1025"/>
      <c r="AC7" s="1025"/>
      <c r="AD7" s="1025"/>
    </row>
    <row r="8" spans="1:31" x14ac:dyDescent="0.25">
      <c r="A8" s="96" t="s">
        <v>710</v>
      </c>
      <c r="B8" s="167" t="s">
        <v>692</v>
      </c>
      <c r="C8" s="1107" t="s">
        <v>589</v>
      </c>
      <c r="D8" s="50">
        <f>Poeng!T16</f>
        <v>3</v>
      </c>
      <c r="E8" s="49"/>
      <c r="F8" s="52">
        <f>Poeng!AB16</f>
        <v>3</v>
      </c>
      <c r="H8" s="165">
        <f t="shared" ref="H8:H36" si="0">SUMIF($R$7:$R$182,A8,$U$7:$U$182)</f>
        <v>1</v>
      </c>
      <c r="I8" s="365" t="str">
        <f t="shared" ref="I8:I36" si="1">IF(F8=H8,"OK","FEIL")</f>
        <v>FEIL</v>
      </c>
      <c r="N8" s="353" t="s">
        <v>92</v>
      </c>
      <c r="O8" s="348" t="b">
        <f t="shared" ref="O8:O72" si="2">N8=S8</f>
        <v>0</v>
      </c>
      <c r="R8" t="s">
        <v>711</v>
      </c>
      <c r="S8" s="1334"/>
      <c r="T8" s="1109" t="s">
        <v>588</v>
      </c>
      <c r="U8" s="1047">
        <v>1</v>
      </c>
      <c r="V8" s="1057" t="s">
        <v>346</v>
      </c>
      <c r="W8" s="1044"/>
      <c r="X8" s="1025"/>
      <c r="Y8" s="1025"/>
      <c r="Z8" s="1025"/>
      <c r="AA8" s="1025"/>
      <c r="AB8" s="1025"/>
      <c r="AC8" s="1025"/>
      <c r="AD8" s="1025"/>
      <c r="AE8">
        <v>1</v>
      </c>
    </row>
    <row r="9" spans="1:31" x14ac:dyDescent="0.25">
      <c r="A9" s="96" t="s">
        <v>711</v>
      </c>
      <c r="B9" s="167" t="s">
        <v>695</v>
      </c>
      <c r="C9" s="1107" t="s">
        <v>588</v>
      </c>
      <c r="D9" s="50">
        <f>Poeng!T19</f>
        <v>7</v>
      </c>
      <c r="E9" s="49"/>
      <c r="F9" s="52">
        <f>Poeng!AB19</f>
        <v>7</v>
      </c>
      <c r="H9" s="165">
        <f t="shared" si="0"/>
        <v>1</v>
      </c>
      <c r="I9" s="365" t="str">
        <f t="shared" si="1"/>
        <v>FEIL</v>
      </c>
      <c r="K9" s="348"/>
      <c r="N9" s="353" t="s">
        <v>93</v>
      </c>
      <c r="O9" s="348" t="b">
        <f t="shared" si="2"/>
        <v>0</v>
      </c>
      <c r="R9" s="981" t="s">
        <v>712</v>
      </c>
      <c r="S9" s="1334"/>
      <c r="T9" s="1109" t="s">
        <v>585</v>
      </c>
      <c r="U9" s="1047">
        <v>1</v>
      </c>
      <c r="V9" s="1057" t="s">
        <v>346</v>
      </c>
      <c r="W9" s="1044"/>
      <c r="X9" s="1025"/>
      <c r="Y9" s="1025"/>
      <c r="Z9" s="1025"/>
      <c r="AA9" s="1025"/>
      <c r="AB9" s="1025"/>
      <c r="AC9" s="1025"/>
      <c r="AD9" s="1025"/>
      <c r="AE9">
        <v>2</v>
      </c>
    </row>
    <row r="10" spans="1:31" x14ac:dyDescent="0.25">
      <c r="A10" s="96" t="s">
        <v>712</v>
      </c>
      <c r="B10" s="167" t="s">
        <v>696</v>
      </c>
      <c r="C10" s="1107" t="s">
        <v>585</v>
      </c>
      <c r="D10" s="50">
        <f>Poeng!T26</f>
        <v>3</v>
      </c>
      <c r="E10" s="49"/>
      <c r="F10" s="52">
        <f>Poeng!AB26</f>
        <v>3</v>
      </c>
      <c r="H10" s="165">
        <f t="shared" si="0"/>
        <v>1</v>
      </c>
      <c r="I10" s="365" t="str">
        <f t="shared" si="1"/>
        <v>FEIL</v>
      </c>
      <c r="K10" s="348"/>
      <c r="N10" s="353" t="s">
        <v>94</v>
      </c>
      <c r="O10" s="348" t="b">
        <f t="shared" si="2"/>
        <v>0</v>
      </c>
      <c r="R10" s="981" t="s">
        <v>713</v>
      </c>
      <c r="S10" s="1334"/>
      <c r="T10" s="1109" t="s">
        <v>586</v>
      </c>
      <c r="U10" s="1047">
        <v>1</v>
      </c>
      <c r="V10" s="1057" t="s">
        <v>346</v>
      </c>
      <c r="W10" s="1044"/>
      <c r="X10" s="1025"/>
      <c r="Y10" s="1025"/>
      <c r="Z10" s="1025"/>
      <c r="AA10" s="1025"/>
      <c r="AB10" s="1025"/>
      <c r="AC10" s="1025"/>
      <c r="AD10" s="1025"/>
      <c r="AE10">
        <v>3</v>
      </c>
    </row>
    <row r="11" spans="1:31" ht="15" customHeight="1" x14ac:dyDescent="0.25">
      <c r="A11" s="96" t="s">
        <v>713</v>
      </c>
      <c r="B11" s="167" t="s">
        <v>694</v>
      </c>
      <c r="C11" s="1107" t="s">
        <v>586</v>
      </c>
      <c r="D11" s="50">
        <f>Poeng!T30</f>
        <v>3</v>
      </c>
      <c r="E11" s="49"/>
      <c r="F11" s="52">
        <f>Poeng!AB30</f>
        <v>3</v>
      </c>
      <c r="H11" s="165">
        <f t="shared" si="0"/>
        <v>1</v>
      </c>
      <c r="I11" s="365" t="str">
        <f t="shared" si="1"/>
        <v>FEIL</v>
      </c>
      <c r="K11" s="348"/>
      <c r="N11" s="353" t="s">
        <v>95</v>
      </c>
      <c r="O11" s="348" t="b">
        <f t="shared" si="2"/>
        <v>0</v>
      </c>
      <c r="R11" s="981" t="s">
        <v>714</v>
      </c>
      <c r="S11" s="1341"/>
      <c r="T11" s="1109" t="s">
        <v>587</v>
      </c>
      <c r="U11" s="1047">
        <v>2</v>
      </c>
      <c r="V11" s="1057" t="s">
        <v>346</v>
      </c>
      <c r="W11" s="1044"/>
      <c r="X11" s="1025"/>
      <c r="Y11" s="1025"/>
      <c r="Z11" s="1025"/>
      <c r="AA11" s="1025"/>
      <c r="AB11" s="1025"/>
      <c r="AC11" s="1025"/>
      <c r="AD11" s="1025"/>
      <c r="AE11" s="981">
        <v>4</v>
      </c>
    </row>
    <row r="12" spans="1:31" x14ac:dyDescent="0.25">
      <c r="A12" s="96" t="s">
        <v>714</v>
      </c>
      <c r="B12" s="167" t="s">
        <v>693</v>
      </c>
      <c r="C12" s="1107" t="s">
        <v>587</v>
      </c>
      <c r="D12" s="50">
        <f>Poeng!T34</f>
        <v>0</v>
      </c>
      <c r="E12" s="49"/>
      <c r="F12" s="52">
        <f>Poeng!AB34</f>
        <v>0</v>
      </c>
      <c r="H12" s="165">
        <f t="shared" si="0"/>
        <v>2</v>
      </c>
      <c r="I12" s="365" t="str">
        <f t="shared" si="1"/>
        <v>FEIL</v>
      </c>
      <c r="K12" s="348"/>
      <c r="N12" s="350"/>
      <c r="O12" s="348" t="b">
        <f t="shared" si="2"/>
        <v>0</v>
      </c>
      <c r="R12" s="981"/>
      <c r="S12" s="1330" t="s">
        <v>92</v>
      </c>
      <c r="T12" s="1110" t="s">
        <v>833</v>
      </c>
      <c r="U12" s="1054"/>
      <c r="V12" s="1028"/>
      <c r="W12" s="1044"/>
      <c r="X12" s="1025"/>
      <c r="Y12" s="1025"/>
      <c r="Z12" s="1025"/>
      <c r="AA12" s="1025"/>
      <c r="AB12" s="1025"/>
      <c r="AC12" s="1025"/>
      <c r="AD12" s="1025"/>
      <c r="AE12" s="981">
        <v>5</v>
      </c>
    </row>
    <row r="13" spans="1:31" ht="15.75" thickBot="1" x14ac:dyDescent="0.3">
      <c r="A13" s="137" t="s">
        <v>92</v>
      </c>
      <c r="B13" s="832" t="s">
        <v>92</v>
      </c>
      <c r="C13" s="832" t="s">
        <v>306</v>
      </c>
      <c r="D13" s="55">
        <f>Poeng!T35</f>
        <v>0</v>
      </c>
      <c r="E13" s="54"/>
      <c r="F13" s="52">
        <f>Poeng!AB35</f>
        <v>0</v>
      </c>
      <c r="H13" s="919">
        <f t="shared" si="0"/>
        <v>0</v>
      </c>
      <c r="I13" s="365" t="str">
        <f t="shared" si="1"/>
        <v>OK</v>
      </c>
      <c r="K13" s="348"/>
      <c r="N13" s="351" t="s">
        <v>350</v>
      </c>
      <c r="O13" s="348" t="b">
        <f t="shared" si="2"/>
        <v>0</v>
      </c>
      <c r="R13" s="981" t="s">
        <v>715</v>
      </c>
      <c r="S13" s="1331"/>
      <c r="T13" s="1109" t="s">
        <v>590</v>
      </c>
      <c r="U13" s="1048">
        <v>2</v>
      </c>
      <c r="V13" s="1057" t="s">
        <v>346</v>
      </c>
      <c r="W13" s="1044"/>
      <c r="X13" s="1025"/>
      <c r="Y13" s="1025"/>
      <c r="Z13" s="1025"/>
      <c r="AA13" s="1025"/>
      <c r="AB13" s="1025"/>
      <c r="AC13" s="1025"/>
      <c r="AD13" s="1025"/>
      <c r="AE13" s="981">
        <v>6</v>
      </c>
    </row>
    <row r="14" spans="1:31" ht="15.75" thickBot="1" x14ac:dyDescent="0.3">
      <c r="A14" s="96" t="s">
        <v>715</v>
      </c>
      <c r="B14" s="167" t="s">
        <v>692</v>
      </c>
      <c r="C14" s="1107" t="s">
        <v>590</v>
      </c>
      <c r="D14" s="56">
        <f>Poeng!T36</f>
        <v>21</v>
      </c>
      <c r="E14" s="56"/>
      <c r="F14" s="56">
        <f>SUM(F7:F13)</f>
        <v>21</v>
      </c>
      <c r="H14" s="165">
        <f t="shared" si="0"/>
        <v>2</v>
      </c>
      <c r="I14" s="365" t="str">
        <f t="shared" si="1"/>
        <v>FEIL</v>
      </c>
      <c r="K14" s="348"/>
      <c r="N14" s="356" t="s">
        <v>116</v>
      </c>
      <c r="O14" s="348" t="b">
        <f t="shared" si="2"/>
        <v>0</v>
      </c>
      <c r="R14" s="981" t="s">
        <v>716</v>
      </c>
      <c r="S14" s="1332"/>
      <c r="T14" s="1109" t="s">
        <v>591</v>
      </c>
      <c r="U14" s="1048">
        <v>1</v>
      </c>
      <c r="V14" s="1057" t="s">
        <v>346</v>
      </c>
      <c r="W14" s="1044"/>
      <c r="X14" s="1025"/>
      <c r="Y14" s="1025"/>
      <c r="Z14" s="1025"/>
      <c r="AA14" s="1025"/>
      <c r="AB14" s="1025"/>
      <c r="AC14" s="1025"/>
      <c r="AD14" s="1025"/>
      <c r="AE14" s="981">
        <v>7</v>
      </c>
    </row>
    <row r="15" spans="1:31" ht="15.75" thickBot="1" x14ac:dyDescent="0.3">
      <c r="A15" s="96" t="s">
        <v>716</v>
      </c>
      <c r="B15" s="167" t="s">
        <v>695</v>
      </c>
      <c r="C15" s="1107" t="s">
        <v>591</v>
      </c>
      <c r="D15" s="30"/>
      <c r="E15" s="30"/>
      <c r="H15" s="165">
        <f t="shared" si="0"/>
        <v>1</v>
      </c>
      <c r="I15" s="365" t="str">
        <f t="shared" si="1"/>
        <v>FEIL</v>
      </c>
      <c r="K15" s="348"/>
      <c r="N15" s="357"/>
      <c r="O15" s="348" t="b">
        <f t="shared" si="2"/>
        <v>0</v>
      </c>
      <c r="R15" s="981"/>
      <c r="S15" s="1330" t="s">
        <v>93</v>
      </c>
      <c r="T15" s="1026" t="s">
        <v>347</v>
      </c>
      <c r="U15" s="1054"/>
      <c r="V15" s="1028"/>
      <c r="W15" s="1044"/>
      <c r="X15" s="981"/>
      <c r="Y15" s="981"/>
      <c r="Z15" s="981"/>
      <c r="AA15" s="981"/>
      <c r="AB15" s="981"/>
      <c r="AC15" s="981"/>
      <c r="AD15" s="981"/>
      <c r="AE15" s="981">
        <v>8</v>
      </c>
    </row>
    <row r="16" spans="1:31" ht="15.75" thickBot="1" x14ac:dyDescent="0.3">
      <c r="A16" s="137" t="s">
        <v>93</v>
      </c>
      <c r="B16" s="832" t="s">
        <v>93</v>
      </c>
      <c r="C16" s="832" t="s">
        <v>307</v>
      </c>
      <c r="D16" s="53"/>
      <c r="E16" s="53"/>
      <c r="F16" s="53"/>
      <c r="H16" s="919">
        <f t="shared" si="0"/>
        <v>0</v>
      </c>
      <c r="I16" s="365" t="str">
        <f t="shared" si="1"/>
        <v>OK</v>
      </c>
      <c r="K16" s="348"/>
      <c r="N16" s="358"/>
      <c r="O16" s="348" t="b">
        <f t="shared" si="2"/>
        <v>1</v>
      </c>
      <c r="R16" s="981" t="s">
        <v>717</v>
      </c>
      <c r="S16" s="1331"/>
      <c r="T16" s="988" t="s">
        <v>592</v>
      </c>
      <c r="U16" s="1047">
        <v>1</v>
      </c>
      <c r="V16" s="1057" t="s">
        <v>346</v>
      </c>
      <c r="W16" s="1044"/>
      <c r="X16" s="981"/>
      <c r="Y16" s="981"/>
      <c r="Z16" s="981"/>
      <c r="AA16" s="981"/>
      <c r="AB16" s="981"/>
      <c r="AC16" s="981"/>
      <c r="AD16" s="981"/>
      <c r="AE16" s="981">
        <v>9</v>
      </c>
    </row>
    <row r="17" spans="1:31" x14ac:dyDescent="0.25">
      <c r="A17" s="96" t="s">
        <v>717</v>
      </c>
      <c r="B17" s="167" t="s">
        <v>692</v>
      </c>
      <c r="C17" s="917" t="s">
        <v>592</v>
      </c>
      <c r="D17" s="52">
        <f>Poeng!T39</f>
        <v>7</v>
      </c>
      <c r="E17" s="51"/>
      <c r="F17" s="52">
        <f>Poeng!AB39</f>
        <v>7</v>
      </c>
      <c r="H17" s="165">
        <f t="shared" si="0"/>
        <v>1</v>
      </c>
      <c r="I17" s="365" t="str">
        <f t="shared" si="1"/>
        <v>FEIL</v>
      </c>
      <c r="K17" s="348"/>
      <c r="N17" s="356" t="s">
        <v>117</v>
      </c>
      <c r="O17" s="348" t="b">
        <f t="shared" si="2"/>
        <v>0</v>
      </c>
      <c r="R17" s="981" t="s">
        <v>718</v>
      </c>
      <c r="S17" s="1331"/>
      <c r="T17" s="988" t="s">
        <v>593</v>
      </c>
      <c r="U17" s="1047">
        <v>1</v>
      </c>
      <c r="V17" s="1057" t="s">
        <v>346</v>
      </c>
      <c r="W17" s="1044"/>
      <c r="X17" s="981"/>
      <c r="Y17" s="981"/>
      <c r="Z17" s="981"/>
      <c r="AA17" s="981"/>
      <c r="AB17" s="981"/>
      <c r="AC17" s="981"/>
      <c r="AD17" s="981"/>
      <c r="AE17" s="981">
        <v>10</v>
      </c>
    </row>
    <row r="18" spans="1:31" x14ac:dyDescent="0.25">
      <c r="A18" s="96" t="s">
        <v>718</v>
      </c>
      <c r="B18" s="167" t="s">
        <v>695</v>
      </c>
      <c r="C18" s="917" t="s">
        <v>593</v>
      </c>
      <c r="D18" s="50">
        <f>Poeng!T46</f>
        <v>4</v>
      </c>
      <c r="E18" s="49"/>
      <c r="F18" s="52">
        <f>Poeng!AB46</f>
        <v>4</v>
      </c>
      <c r="H18" s="165">
        <f t="shared" si="0"/>
        <v>1</v>
      </c>
      <c r="I18" s="365" t="str">
        <f t="shared" si="1"/>
        <v>FEIL</v>
      </c>
      <c r="K18" s="348"/>
      <c r="N18" s="357"/>
      <c r="O18" s="348" t="b">
        <f t="shared" si="2"/>
        <v>1</v>
      </c>
      <c r="R18" s="981" t="s">
        <v>719</v>
      </c>
      <c r="S18" s="1331"/>
      <c r="T18" s="988" t="s">
        <v>594</v>
      </c>
      <c r="U18" s="1047">
        <v>2</v>
      </c>
      <c r="V18" s="1057" t="s">
        <v>346</v>
      </c>
      <c r="W18" s="1044"/>
      <c r="X18" s="981"/>
      <c r="Y18" s="981"/>
      <c r="Z18" s="981"/>
      <c r="AA18" s="981"/>
      <c r="AB18" s="981"/>
      <c r="AC18" s="981"/>
      <c r="AD18" s="981"/>
      <c r="AE18" s="981">
        <v>11</v>
      </c>
    </row>
    <row r="19" spans="1:31" x14ac:dyDescent="0.25">
      <c r="A19" s="96" t="s">
        <v>719</v>
      </c>
      <c r="B19" s="167" t="s">
        <v>696</v>
      </c>
      <c r="C19" s="1011" t="s">
        <v>911</v>
      </c>
      <c r="D19" s="50">
        <f>Poeng!T51</f>
        <v>3</v>
      </c>
      <c r="E19" s="49"/>
      <c r="F19" s="52">
        <f>Poeng!AB51</f>
        <v>3</v>
      </c>
      <c r="H19" s="1037">
        <f>IF(SUMIF($R$7:$R$182,A19,$U$7:$U$182)=2,1,SUMIF($R$7:$R$182,A19,$U$7:$U$182))</f>
        <v>1</v>
      </c>
      <c r="I19" s="365" t="str">
        <f t="shared" si="1"/>
        <v>FEIL</v>
      </c>
      <c r="J19" s="1039" t="s">
        <v>943</v>
      </c>
      <c r="K19" s="348"/>
      <c r="N19" s="358"/>
      <c r="O19" s="348" t="b">
        <f t="shared" si="2"/>
        <v>1</v>
      </c>
      <c r="R19" s="981" t="s">
        <v>909</v>
      </c>
      <c r="S19" s="1332"/>
      <c r="T19" s="988" t="s">
        <v>595</v>
      </c>
      <c r="U19" s="1047">
        <v>3</v>
      </c>
      <c r="V19" s="1057" t="s">
        <v>346</v>
      </c>
      <c r="W19" s="1044"/>
      <c r="AE19" s="981">
        <v>12</v>
      </c>
    </row>
    <row r="20" spans="1:31" ht="15" customHeight="1" x14ac:dyDescent="0.25">
      <c r="A20" s="96" t="s">
        <v>720</v>
      </c>
      <c r="B20" s="167" t="s">
        <v>694</v>
      </c>
      <c r="C20" s="1011" t="s">
        <v>912</v>
      </c>
      <c r="D20" s="50">
        <f>Poeng!T55</f>
        <v>0</v>
      </c>
      <c r="E20" s="49"/>
      <c r="F20" s="52">
        <f>Poeng!AB55</f>
        <v>0</v>
      </c>
      <c r="H20" s="1037">
        <f>IF(SUMIF($R$7:$R$182,A19,$U$7:$U$182)=2,1,0)</f>
        <v>1</v>
      </c>
      <c r="I20" s="365" t="str">
        <f t="shared" si="1"/>
        <v>FEIL</v>
      </c>
      <c r="J20" s="1039" t="s">
        <v>943</v>
      </c>
      <c r="K20" s="348"/>
      <c r="N20" s="354" t="s">
        <v>118</v>
      </c>
      <c r="O20" s="348" t="b">
        <f t="shared" si="2"/>
        <v>0</v>
      </c>
      <c r="R20" s="981"/>
      <c r="S20" s="1330" t="s">
        <v>94</v>
      </c>
      <c r="T20" s="1026" t="s">
        <v>348</v>
      </c>
      <c r="U20" s="1054"/>
      <c r="V20" s="1028"/>
      <c r="W20" s="1044"/>
      <c r="AE20" s="981">
        <v>13</v>
      </c>
    </row>
    <row r="21" spans="1:31" x14ac:dyDescent="0.25">
      <c r="A21" s="96" t="s">
        <v>909</v>
      </c>
      <c r="B21" s="167" t="s">
        <v>693</v>
      </c>
      <c r="C21" s="1011" t="s">
        <v>913</v>
      </c>
      <c r="D21" s="50">
        <f>Poeng!T56</f>
        <v>3</v>
      </c>
      <c r="E21" s="49"/>
      <c r="F21" s="52">
        <f>Poeng!AB56</f>
        <v>3</v>
      </c>
      <c r="H21" s="1037">
        <f>IF(SUMIF($R$7:$R$182,A21,$U$7:$U$182)=3,1,SUMIF($R$7:$R$182,A21,$U$7:$U$182))</f>
        <v>1</v>
      </c>
      <c r="I21" s="365" t="str">
        <f t="shared" si="1"/>
        <v>FEIL</v>
      </c>
      <c r="J21" t="s">
        <v>943</v>
      </c>
      <c r="K21" s="348"/>
      <c r="N21" s="354" t="s">
        <v>119</v>
      </c>
      <c r="O21" s="348" t="b">
        <f t="shared" si="2"/>
        <v>0</v>
      </c>
      <c r="R21" s="981" t="s">
        <v>721</v>
      </c>
      <c r="S21" s="1331"/>
      <c r="T21" s="988" t="s">
        <v>596</v>
      </c>
      <c r="U21" s="1047">
        <v>1</v>
      </c>
      <c r="V21" s="1057" t="s">
        <v>346</v>
      </c>
      <c r="W21" s="1044"/>
      <c r="AE21" s="981">
        <v>14</v>
      </c>
    </row>
    <row r="22" spans="1:31" ht="48.75" customHeight="1" x14ac:dyDescent="0.25">
      <c r="A22" s="96" t="s">
        <v>910</v>
      </c>
      <c r="B22" s="167" t="s">
        <v>908</v>
      </c>
      <c r="C22" s="1011" t="s">
        <v>914</v>
      </c>
      <c r="D22" s="50">
        <f>Poeng!T59</f>
        <v>2</v>
      </c>
      <c r="E22" s="49"/>
      <c r="F22" s="52">
        <f>Poeng!AB59</f>
        <v>2</v>
      </c>
      <c r="H22" s="1037">
        <f>IF(SUMIF($R$7:$R$182,A21,$U$7:$U$182)=3,2,0)</f>
        <v>2</v>
      </c>
      <c r="I22" s="365" t="str">
        <f t="shared" si="1"/>
        <v>OK</v>
      </c>
      <c r="J22" s="1039" t="s">
        <v>943</v>
      </c>
      <c r="K22" s="348"/>
      <c r="N22" s="354" t="s">
        <v>120</v>
      </c>
      <c r="O22" s="348" t="b">
        <f t="shared" si="2"/>
        <v>0</v>
      </c>
      <c r="R22" s="981" t="s">
        <v>722</v>
      </c>
      <c r="S22" s="1331"/>
      <c r="T22" s="988" t="s">
        <v>597</v>
      </c>
      <c r="U22" s="1047">
        <v>1</v>
      </c>
      <c r="V22" s="1057" t="s">
        <v>346</v>
      </c>
      <c r="W22" s="1044"/>
      <c r="AE22" s="981">
        <v>15</v>
      </c>
    </row>
    <row r="23" spans="1:31" ht="15" customHeight="1" x14ac:dyDescent="0.25">
      <c r="A23" s="137" t="s">
        <v>94</v>
      </c>
      <c r="B23" s="832" t="s">
        <v>94</v>
      </c>
      <c r="C23" s="832" t="s">
        <v>395</v>
      </c>
      <c r="D23" s="67">
        <f>Poeng!T62</f>
        <v>0</v>
      </c>
      <c r="E23" s="49"/>
      <c r="F23" s="366">
        <f>Poeng!AB62</f>
        <v>0</v>
      </c>
      <c r="H23" s="919">
        <f t="shared" si="0"/>
        <v>0</v>
      </c>
      <c r="I23" s="365" t="str">
        <f t="shared" si="1"/>
        <v>OK</v>
      </c>
      <c r="K23" s="348"/>
      <c r="N23" s="354" t="s">
        <v>121</v>
      </c>
      <c r="O23" s="348" t="b">
        <f t="shared" si="2"/>
        <v>0</v>
      </c>
      <c r="R23" s="981" t="s">
        <v>723</v>
      </c>
      <c r="S23" s="1332"/>
      <c r="T23" s="988" t="s">
        <v>598</v>
      </c>
      <c r="U23" s="1047">
        <v>1</v>
      </c>
      <c r="V23" s="1057" t="s">
        <v>346</v>
      </c>
      <c r="W23" s="1044"/>
      <c r="AE23" s="981">
        <v>16</v>
      </c>
    </row>
    <row r="24" spans="1:31" x14ac:dyDescent="0.25">
      <c r="A24" s="96" t="s">
        <v>721</v>
      </c>
      <c r="B24" s="167" t="s">
        <v>692</v>
      </c>
      <c r="C24" s="917" t="s">
        <v>596</v>
      </c>
      <c r="D24" s="50">
        <f>Poeng!T63</f>
        <v>0</v>
      </c>
      <c r="E24" s="49"/>
      <c r="F24" s="52">
        <f>Poeng!AB63</f>
        <v>0</v>
      </c>
      <c r="H24" s="165">
        <f t="shared" si="0"/>
        <v>1</v>
      </c>
      <c r="I24" s="365" t="str">
        <f t="shared" si="1"/>
        <v>FEIL</v>
      </c>
      <c r="K24" s="348"/>
      <c r="N24" s="354" t="s">
        <v>122</v>
      </c>
      <c r="O24" s="348" t="b">
        <f t="shared" si="2"/>
        <v>0</v>
      </c>
      <c r="R24" s="981"/>
      <c r="S24" s="1333" t="s">
        <v>95</v>
      </c>
      <c r="T24" s="1027" t="s">
        <v>349</v>
      </c>
      <c r="U24" s="1054"/>
      <c r="V24" s="1028"/>
      <c r="W24" s="1044"/>
      <c r="AE24" s="981">
        <v>17</v>
      </c>
    </row>
    <row r="25" spans="1:31" ht="73.5" customHeight="1" thickBot="1" x14ac:dyDescent="0.3">
      <c r="A25" s="96" t="s">
        <v>722</v>
      </c>
      <c r="B25" s="167" t="s">
        <v>695</v>
      </c>
      <c r="C25" s="917" t="s">
        <v>597</v>
      </c>
      <c r="D25" s="55">
        <f>Poeng!T65</f>
        <v>0</v>
      </c>
      <c r="E25" s="54"/>
      <c r="F25" s="52">
        <f>Poeng!AB65</f>
        <v>0</v>
      </c>
      <c r="H25" s="165">
        <f t="shared" si="0"/>
        <v>1</v>
      </c>
      <c r="I25" s="365" t="str">
        <f t="shared" si="1"/>
        <v>FEIL</v>
      </c>
      <c r="N25" s="354" t="s">
        <v>123</v>
      </c>
      <c r="O25" s="348" t="b">
        <f t="shared" si="2"/>
        <v>0</v>
      </c>
      <c r="R25" s="981" t="s">
        <v>724</v>
      </c>
      <c r="S25" s="1334"/>
      <c r="T25" s="988" t="s">
        <v>599</v>
      </c>
      <c r="U25" s="1047">
        <v>1</v>
      </c>
      <c r="V25" s="1057" t="s">
        <v>346</v>
      </c>
      <c r="W25" s="1044"/>
      <c r="AE25" s="981">
        <v>18</v>
      </c>
    </row>
    <row r="26" spans="1:31" ht="15.75" thickBot="1" x14ac:dyDescent="0.3">
      <c r="A26" s="96" t="s">
        <v>723</v>
      </c>
      <c r="B26" s="167" t="s">
        <v>696</v>
      </c>
      <c r="C26" s="917" t="s">
        <v>598</v>
      </c>
      <c r="D26" s="56">
        <f>Poeng!T66</f>
        <v>19</v>
      </c>
      <c r="E26" s="56"/>
      <c r="F26" s="56">
        <f>SUM(F17:F25)</f>
        <v>19</v>
      </c>
      <c r="H26" s="165">
        <f t="shared" si="0"/>
        <v>1</v>
      </c>
      <c r="I26" s="365" t="str">
        <f t="shared" si="1"/>
        <v>FEIL</v>
      </c>
      <c r="N26" s="354" t="s">
        <v>124</v>
      </c>
      <c r="O26" s="348" t="b">
        <f t="shared" si="2"/>
        <v>0</v>
      </c>
      <c r="R26" s="981" t="s">
        <v>725</v>
      </c>
      <c r="S26" s="1334"/>
      <c r="T26" s="988" t="s">
        <v>600</v>
      </c>
      <c r="U26" s="1047">
        <v>1</v>
      </c>
      <c r="V26" s="1057" t="s">
        <v>346</v>
      </c>
      <c r="W26" s="1044"/>
      <c r="AE26" s="981">
        <v>19</v>
      </c>
    </row>
    <row r="27" spans="1:31" ht="15.75" thickBot="1" x14ac:dyDescent="0.3">
      <c r="A27" s="137" t="s">
        <v>95</v>
      </c>
      <c r="B27" s="832" t="s">
        <v>95</v>
      </c>
      <c r="C27" s="832" t="s">
        <v>308</v>
      </c>
      <c r="D27" s="30"/>
      <c r="E27" s="30"/>
      <c r="H27" s="919">
        <f t="shared" si="0"/>
        <v>0</v>
      </c>
      <c r="I27" s="365" t="str">
        <f t="shared" si="1"/>
        <v>OK</v>
      </c>
      <c r="N27" s="350"/>
      <c r="O27" s="348" t="b">
        <f t="shared" si="2"/>
        <v>1</v>
      </c>
      <c r="R27" s="981" t="s">
        <v>726</v>
      </c>
      <c r="S27" s="1334"/>
      <c r="T27" s="988" t="s">
        <v>601</v>
      </c>
      <c r="U27" s="1047">
        <v>1</v>
      </c>
      <c r="V27" s="1057" t="s">
        <v>346</v>
      </c>
      <c r="W27" s="1044"/>
      <c r="AE27" s="981">
        <v>20</v>
      </c>
    </row>
    <row r="28" spans="1:31" ht="15.75" thickBot="1" x14ac:dyDescent="0.3">
      <c r="A28" s="96" t="s">
        <v>724</v>
      </c>
      <c r="B28" s="167" t="s">
        <v>692</v>
      </c>
      <c r="C28" s="917" t="s">
        <v>599</v>
      </c>
      <c r="D28" s="53"/>
      <c r="E28" s="53"/>
      <c r="F28" s="53"/>
      <c r="H28" s="165">
        <f t="shared" si="0"/>
        <v>1</v>
      </c>
      <c r="I28" s="365" t="str">
        <f t="shared" si="1"/>
        <v>FEIL</v>
      </c>
      <c r="N28" s="351" t="s">
        <v>353</v>
      </c>
      <c r="O28" s="348" t="b">
        <f t="shared" si="2"/>
        <v>0</v>
      </c>
      <c r="R28" s="981"/>
      <c r="S28" s="986" t="s">
        <v>350</v>
      </c>
      <c r="T28" s="985"/>
      <c r="U28" s="1045"/>
      <c r="V28" s="1046"/>
      <c r="W28" s="1044"/>
      <c r="AE28" s="981">
        <v>21</v>
      </c>
    </row>
    <row r="29" spans="1:31" x14ac:dyDescent="0.25">
      <c r="A29" s="96" t="s">
        <v>725</v>
      </c>
      <c r="B29" s="167" t="s">
        <v>695</v>
      </c>
      <c r="C29" s="917" t="s">
        <v>600</v>
      </c>
      <c r="D29" s="52">
        <f>Poeng!T69</f>
        <v>12</v>
      </c>
      <c r="E29" s="51"/>
      <c r="F29" s="52">
        <f>Poeng!AB69</f>
        <v>12</v>
      </c>
      <c r="H29" s="165">
        <f t="shared" si="0"/>
        <v>1</v>
      </c>
      <c r="I29" s="365" t="str">
        <f t="shared" si="1"/>
        <v>FEIL</v>
      </c>
      <c r="N29" s="354" t="s">
        <v>134</v>
      </c>
      <c r="O29" s="348" t="b">
        <f t="shared" si="2"/>
        <v>0</v>
      </c>
      <c r="R29" s="981"/>
      <c r="S29" s="1321" t="s">
        <v>116</v>
      </c>
      <c r="T29" s="1029" t="s">
        <v>834</v>
      </c>
      <c r="U29" s="1055"/>
      <c r="V29" s="1030"/>
      <c r="W29" s="1044"/>
      <c r="AE29" s="981">
        <v>22</v>
      </c>
    </row>
    <row r="30" spans="1:31" x14ac:dyDescent="0.25">
      <c r="A30" s="96" t="s">
        <v>726</v>
      </c>
      <c r="B30" s="167" t="s">
        <v>696</v>
      </c>
      <c r="C30" s="917" t="s">
        <v>601</v>
      </c>
      <c r="D30" s="50">
        <f>Poeng!T75</f>
        <v>2</v>
      </c>
      <c r="E30" s="49"/>
      <c r="F30" s="52">
        <f>Poeng!AB75</f>
        <v>2</v>
      </c>
      <c r="H30" s="165">
        <f t="shared" si="0"/>
        <v>1</v>
      </c>
      <c r="I30" s="365" t="str">
        <f t="shared" si="1"/>
        <v>FEIL</v>
      </c>
      <c r="N30" s="354" t="s">
        <v>252</v>
      </c>
      <c r="O30" s="348" t="b">
        <f t="shared" si="2"/>
        <v>0</v>
      </c>
      <c r="R30" s="981" t="s">
        <v>728</v>
      </c>
      <c r="S30" s="1322"/>
      <c r="T30" s="990" t="s">
        <v>602</v>
      </c>
      <c r="U30" s="1049">
        <v>3</v>
      </c>
      <c r="V30" s="1058" t="s">
        <v>346</v>
      </c>
      <c r="W30" s="1044"/>
      <c r="AE30" s="981">
        <v>23</v>
      </c>
    </row>
    <row r="31" spans="1:31" x14ac:dyDescent="0.25">
      <c r="A31" s="96"/>
      <c r="B31" s="700" t="s">
        <v>96</v>
      </c>
      <c r="C31" s="700"/>
      <c r="D31" s="50">
        <f>Poeng!T79</f>
        <v>1</v>
      </c>
      <c r="E31" s="49"/>
      <c r="F31" s="52">
        <f>Poeng!AB79</f>
        <v>1</v>
      </c>
      <c r="H31" s="954">
        <f t="shared" si="0"/>
        <v>0</v>
      </c>
      <c r="I31" s="365" t="str">
        <f t="shared" si="1"/>
        <v>FEIL</v>
      </c>
      <c r="N31" s="354" t="s">
        <v>354</v>
      </c>
      <c r="O31" s="348" t="b">
        <f t="shared" si="2"/>
        <v>0</v>
      </c>
      <c r="R31" s="981" t="s">
        <v>729</v>
      </c>
      <c r="S31" s="1322"/>
      <c r="T31" s="990" t="s">
        <v>603</v>
      </c>
      <c r="U31" s="1050">
        <v>1</v>
      </c>
      <c r="V31" s="1059" t="s">
        <v>346</v>
      </c>
      <c r="W31" s="1044"/>
      <c r="AE31" s="981">
        <v>24</v>
      </c>
    </row>
    <row r="32" spans="1:31" ht="15.75" customHeight="1" thickBot="1" x14ac:dyDescent="0.3">
      <c r="A32" s="96"/>
      <c r="B32" s="700" t="s">
        <v>97</v>
      </c>
      <c r="C32" s="700"/>
      <c r="D32" s="50">
        <f>Poeng!T82</f>
        <v>0</v>
      </c>
      <c r="E32" s="49"/>
      <c r="F32" s="52">
        <f>Poeng!AB82</f>
        <v>0</v>
      </c>
      <c r="H32" s="954">
        <f t="shared" si="0"/>
        <v>0</v>
      </c>
      <c r="I32" s="365" t="str">
        <f t="shared" si="1"/>
        <v>OK</v>
      </c>
      <c r="N32" s="354" t="s">
        <v>136</v>
      </c>
      <c r="O32" s="348" t="b">
        <f t="shared" si="2"/>
        <v>0</v>
      </c>
      <c r="R32" s="981" t="s">
        <v>730</v>
      </c>
      <c r="S32" s="1322"/>
      <c r="T32" s="990" t="s">
        <v>604</v>
      </c>
      <c r="U32" s="1050">
        <v>1</v>
      </c>
      <c r="V32" s="1059" t="s">
        <v>346</v>
      </c>
      <c r="W32" s="1044"/>
      <c r="AE32" s="981">
        <v>25</v>
      </c>
    </row>
    <row r="33" spans="1:31" ht="15.75" thickBot="1" x14ac:dyDescent="0.3">
      <c r="A33" s="96" t="s">
        <v>881</v>
      </c>
      <c r="B33" s="711"/>
      <c r="C33" s="710" t="s">
        <v>213</v>
      </c>
      <c r="D33" s="50">
        <f>Poeng!T83</f>
        <v>2</v>
      </c>
      <c r="E33" s="49"/>
      <c r="F33" s="52">
        <f>Poeng!AB83</f>
        <v>2</v>
      </c>
      <c r="H33" s="203">
        <f t="shared" si="0"/>
        <v>0</v>
      </c>
      <c r="I33" s="365" t="str">
        <f t="shared" si="1"/>
        <v>FEIL</v>
      </c>
      <c r="N33" s="354" t="s">
        <v>137</v>
      </c>
      <c r="O33" s="348" t="b">
        <f t="shared" si="2"/>
        <v>0</v>
      </c>
      <c r="R33" s="981" t="s">
        <v>731</v>
      </c>
      <c r="S33" s="1322"/>
      <c r="T33" s="990" t="s">
        <v>605</v>
      </c>
      <c r="U33" s="1050">
        <v>1</v>
      </c>
      <c r="V33" s="1059" t="s">
        <v>346</v>
      </c>
      <c r="W33" s="1044"/>
      <c r="AE33" s="981">
        <v>26</v>
      </c>
    </row>
    <row r="34" spans="1:31" ht="15.75" thickBot="1" x14ac:dyDescent="0.3">
      <c r="A34" s="96"/>
      <c r="B34" s="96"/>
      <c r="C34" s="96"/>
      <c r="D34" s="50">
        <f>Poeng!T86</f>
        <v>3</v>
      </c>
      <c r="E34" s="49"/>
      <c r="F34" s="52">
        <f>Poeng!AB86</f>
        <v>3</v>
      </c>
      <c r="H34" s="96">
        <f t="shared" si="0"/>
        <v>0</v>
      </c>
      <c r="I34" s="365" t="str">
        <f t="shared" si="1"/>
        <v>FEIL</v>
      </c>
      <c r="N34" s="354" t="s">
        <v>138</v>
      </c>
      <c r="O34" s="348" t="b">
        <f t="shared" si="2"/>
        <v>0</v>
      </c>
      <c r="R34" s="981" t="s">
        <v>955</v>
      </c>
      <c r="S34" s="1323"/>
      <c r="T34" s="990" t="s">
        <v>606</v>
      </c>
      <c r="U34" s="1047">
        <v>1</v>
      </c>
      <c r="V34" s="1058" t="s">
        <v>346</v>
      </c>
      <c r="W34" s="1044"/>
      <c r="AE34" s="981">
        <v>27</v>
      </c>
    </row>
    <row r="35" spans="1:31" ht="15.75" thickBot="1" x14ac:dyDescent="0.3">
      <c r="A35" s="96"/>
      <c r="B35" s="145"/>
      <c r="C35" s="146" t="s">
        <v>64</v>
      </c>
      <c r="D35" s="50">
        <f>Poeng!T90</f>
        <v>5</v>
      </c>
      <c r="E35" s="49"/>
      <c r="F35" s="52">
        <f>Poeng!AB90</f>
        <v>5</v>
      </c>
      <c r="H35" s="138">
        <f t="shared" si="0"/>
        <v>0</v>
      </c>
      <c r="I35" s="365" t="str">
        <f t="shared" si="1"/>
        <v>FEIL</v>
      </c>
      <c r="N35" s="354" t="s">
        <v>139</v>
      </c>
      <c r="O35" s="348" t="b">
        <f t="shared" si="2"/>
        <v>0</v>
      </c>
      <c r="R35" s="981"/>
      <c r="S35" s="1321" t="s">
        <v>117</v>
      </c>
      <c r="T35" s="1029" t="s">
        <v>835</v>
      </c>
      <c r="U35" s="1055"/>
      <c r="V35" s="1030"/>
      <c r="W35" s="1044"/>
      <c r="AE35" s="981">
        <v>28</v>
      </c>
    </row>
    <row r="36" spans="1:31" x14ac:dyDescent="0.25">
      <c r="A36" s="137" t="s">
        <v>116</v>
      </c>
      <c r="B36" s="833" t="s">
        <v>116</v>
      </c>
      <c r="C36" s="831" t="s">
        <v>114</v>
      </c>
      <c r="D36" s="50">
        <f>Poeng!T93</f>
        <v>2</v>
      </c>
      <c r="E36" s="49"/>
      <c r="F36" s="52">
        <f>Poeng!AB93</f>
        <v>2</v>
      </c>
      <c r="H36" s="961">
        <f t="shared" si="0"/>
        <v>0</v>
      </c>
      <c r="I36" s="365" t="str">
        <f t="shared" si="1"/>
        <v>FEIL</v>
      </c>
      <c r="N36" s="354" t="s">
        <v>140</v>
      </c>
      <c r="O36" s="348" t="b">
        <f t="shared" si="2"/>
        <v>0</v>
      </c>
      <c r="R36" s="981" t="s">
        <v>733</v>
      </c>
      <c r="S36" s="1322"/>
      <c r="T36" s="990" t="s">
        <v>608</v>
      </c>
      <c r="U36" s="1047">
        <v>1</v>
      </c>
      <c r="V36" s="1058"/>
      <c r="W36" s="1044"/>
      <c r="AE36" s="981">
        <v>29</v>
      </c>
    </row>
    <row r="37" spans="1:31" ht="15.75" customHeight="1" x14ac:dyDescent="0.25">
      <c r="A37" t="s">
        <v>727</v>
      </c>
      <c r="B37" s="367" t="s">
        <v>692</v>
      </c>
      <c r="N37" s="354" t="s">
        <v>141</v>
      </c>
      <c r="O37" s="348" t="b">
        <f t="shared" si="2"/>
        <v>0</v>
      </c>
      <c r="R37" s="981" t="s">
        <v>734</v>
      </c>
      <c r="S37" s="1322"/>
      <c r="T37" s="989" t="s">
        <v>609</v>
      </c>
      <c r="U37" s="1047">
        <v>2</v>
      </c>
      <c r="V37" s="1058" t="s">
        <v>346</v>
      </c>
      <c r="W37" s="1044"/>
      <c r="AE37" s="981">
        <v>30</v>
      </c>
    </row>
    <row r="38" spans="1:31" ht="15.75" customHeight="1" x14ac:dyDescent="0.25">
      <c r="A38" s="96" t="s">
        <v>728</v>
      </c>
      <c r="B38" s="163" t="s">
        <v>695</v>
      </c>
      <c r="C38" s="917" t="s">
        <v>602</v>
      </c>
      <c r="D38" s="50">
        <f>Poeng!T95</f>
        <v>0</v>
      </c>
      <c r="E38" s="49"/>
      <c r="F38" s="52">
        <f>Poeng!AB95</f>
        <v>0</v>
      </c>
      <c r="H38" s="212">
        <f>SUMIF($R$7:$R$182,A38,$U$7:$U$182)</f>
        <v>3</v>
      </c>
      <c r="I38" s="365" t="str">
        <f t="shared" ref="I38:I74" si="3">IF(F38=H38,"OK","FEIL")</f>
        <v>FEIL</v>
      </c>
      <c r="N38" s="354" t="s">
        <v>142</v>
      </c>
      <c r="O38" s="348" t="b">
        <f t="shared" si="2"/>
        <v>0</v>
      </c>
      <c r="R38" s="981" t="s">
        <v>735</v>
      </c>
      <c r="S38" s="1323"/>
      <c r="T38" s="989" t="s">
        <v>610</v>
      </c>
      <c r="U38" s="1051">
        <v>1</v>
      </c>
      <c r="V38" s="1058" t="s">
        <v>346</v>
      </c>
      <c r="W38" s="1044"/>
      <c r="AE38" s="981">
        <v>31</v>
      </c>
    </row>
    <row r="39" spans="1:31" ht="15.75" thickBot="1" x14ac:dyDescent="0.3">
      <c r="A39" s="96" t="s">
        <v>729</v>
      </c>
      <c r="B39" s="163" t="s">
        <v>696</v>
      </c>
      <c r="C39" s="917" t="s">
        <v>603</v>
      </c>
      <c r="D39" s="50">
        <f>Poeng!T96</f>
        <v>0</v>
      </c>
      <c r="E39" s="49"/>
      <c r="F39" s="52">
        <f>Poeng!AB96</f>
        <v>0</v>
      </c>
      <c r="H39" s="212">
        <f t="shared" ref="H39:H71" si="4">SUMIF($R$7:$R$182,A39,$U$7:$U$182)</f>
        <v>1</v>
      </c>
      <c r="I39" s="365" t="str">
        <f t="shared" si="3"/>
        <v>FEIL</v>
      </c>
      <c r="N39" s="355" t="s">
        <v>143</v>
      </c>
      <c r="O39" s="348" t="b">
        <f t="shared" si="2"/>
        <v>0</v>
      </c>
      <c r="R39" s="981"/>
      <c r="S39" s="1321" t="s">
        <v>118</v>
      </c>
      <c r="T39" s="1029" t="s">
        <v>836</v>
      </c>
      <c r="U39" s="1055"/>
      <c r="V39" s="1030"/>
      <c r="W39" s="1044"/>
      <c r="AE39" s="981">
        <v>32</v>
      </c>
    </row>
    <row r="40" spans="1:31" ht="15.75" thickBot="1" x14ac:dyDescent="0.3">
      <c r="A40" s="96" t="s">
        <v>730</v>
      </c>
      <c r="B40" s="163" t="s">
        <v>694</v>
      </c>
      <c r="C40" s="917" t="s">
        <v>604</v>
      </c>
      <c r="D40" s="56">
        <f>Poeng!T97</f>
        <v>27</v>
      </c>
      <c r="E40" s="56"/>
      <c r="F40" s="56">
        <f>SUM(F29:F39)</f>
        <v>27</v>
      </c>
      <c r="H40" s="212">
        <f t="shared" si="4"/>
        <v>1</v>
      </c>
      <c r="I40" s="365" t="str">
        <f t="shared" si="3"/>
        <v>FEIL</v>
      </c>
      <c r="N40" s="350"/>
      <c r="O40" s="348" t="b">
        <f t="shared" si="2"/>
        <v>1</v>
      </c>
      <c r="R40" s="981" t="s">
        <v>736</v>
      </c>
      <c r="S40" s="1322"/>
      <c r="T40" s="990" t="s">
        <v>611</v>
      </c>
      <c r="U40" s="1047">
        <v>1</v>
      </c>
      <c r="V40" s="1058" t="s">
        <v>346</v>
      </c>
      <c r="W40" s="1044"/>
      <c r="AE40" s="981">
        <v>33</v>
      </c>
    </row>
    <row r="41" spans="1:31" ht="15.75" thickBot="1" x14ac:dyDescent="0.3">
      <c r="A41" s="96" t="s">
        <v>731</v>
      </c>
      <c r="B41" s="163" t="s">
        <v>693</v>
      </c>
      <c r="C41" s="917" t="s">
        <v>605</v>
      </c>
      <c r="D41" s="30"/>
      <c r="E41" s="30"/>
      <c r="H41" s="212">
        <f t="shared" si="4"/>
        <v>1</v>
      </c>
      <c r="I41" s="365" t="str">
        <f t="shared" si="3"/>
        <v>FEIL</v>
      </c>
      <c r="N41" s="351" t="s">
        <v>360</v>
      </c>
      <c r="O41" s="348" t="b">
        <f t="shared" si="2"/>
        <v>0</v>
      </c>
      <c r="R41" s="981" t="s">
        <v>737</v>
      </c>
      <c r="S41" s="1322"/>
      <c r="T41" s="989" t="s">
        <v>612</v>
      </c>
      <c r="U41" s="1047">
        <v>1</v>
      </c>
      <c r="V41" s="1058" t="s">
        <v>346</v>
      </c>
      <c r="W41" s="1044"/>
      <c r="AE41" s="981">
        <v>34</v>
      </c>
    </row>
    <row r="42" spans="1:31" ht="15.75" thickBot="1" x14ac:dyDescent="0.3">
      <c r="A42" s="96" t="s">
        <v>955</v>
      </c>
      <c r="B42" s="163" t="s">
        <v>908</v>
      </c>
      <c r="C42" s="917" t="s">
        <v>606</v>
      </c>
      <c r="D42" s="53"/>
      <c r="E42" s="53"/>
      <c r="F42" s="53"/>
      <c r="H42" s="212">
        <f t="shared" si="4"/>
        <v>1</v>
      </c>
      <c r="I42" s="365" t="str">
        <f t="shared" si="3"/>
        <v>FEIL</v>
      </c>
      <c r="N42" s="354" t="s">
        <v>146</v>
      </c>
      <c r="O42" s="348" t="b">
        <f t="shared" si="2"/>
        <v>0</v>
      </c>
      <c r="R42" s="981" t="s">
        <v>738</v>
      </c>
      <c r="S42" s="1323"/>
      <c r="T42" s="989" t="s">
        <v>837</v>
      </c>
      <c r="U42" s="1047">
        <v>1</v>
      </c>
      <c r="V42" s="1058" t="s">
        <v>346</v>
      </c>
      <c r="W42" s="1044"/>
      <c r="AE42" s="981">
        <v>35</v>
      </c>
    </row>
    <row r="43" spans="1:31" x14ac:dyDescent="0.25">
      <c r="A43" s="137" t="s">
        <v>117</v>
      </c>
      <c r="B43" s="834" t="s">
        <v>117</v>
      </c>
      <c r="C43" s="832" t="s">
        <v>111</v>
      </c>
      <c r="D43" s="50">
        <f>Poeng!T100</f>
        <v>3</v>
      </c>
      <c r="E43" s="49"/>
      <c r="F43" s="52">
        <f>Poeng!AB100</f>
        <v>3</v>
      </c>
      <c r="H43" s="961">
        <f t="shared" si="4"/>
        <v>0</v>
      </c>
      <c r="I43" s="365" t="str">
        <f t="shared" si="3"/>
        <v>FEIL</v>
      </c>
      <c r="N43" s="354" t="s">
        <v>147</v>
      </c>
      <c r="O43" s="348" t="b">
        <f t="shared" si="2"/>
        <v>0</v>
      </c>
      <c r="R43" s="981" t="s">
        <v>740</v>
      </c>
      <c r="S43" s="991" t="s">
        <v>120</v>
      </c>
      <c r="T43" s="994" t="s">
        <v>615</v>
      </c>
      <c r="U43" s="1049">
        <v>3</v>
      </c>
      <c r="V43" s="1058" t="s">
        <v>346</v>
      </c>
      <c r="W43" s="1044"/>
      <c r="AE43" s="981">
        <v>36</v>
      </c>
    </row>
    <row r="44" spans="1:31" ht="15.75" customHeight="1" x14ac:dyDescent="0.25">
      <c r="A44" s="96"/>
      <c r="B44" s="163" t="s">
        <v>692</v>
      </c>
      <c r="C44" s="940" t="s">
        <v>607</v>
      </c>
      <c r="D44" s="50">
        <f>Poeng!T103</f>
        <v>10</v>
      </c>
      <c r="E44" s="49"/>
      <c r="F44" s="52">
        <f>Poeng!AB103</f>
        <v>10</v>
      </c>
      <c r="H44" s="212">
        <f t="shared" si="4"/>
        <v>0</v>
      </c>
      <c r="I44" s="365" t="str">
        <f t="shared" si="3"/>
        <v>FEIL</v>
      </c>
      <c r="N44" s="354" t="s">
        <v>361</v>
      </c>
      <c r="O44" s="348" t="b">
        <f t="shared" si="2"/>
        <v>0</v>
      </c>
      <c r="R44" s="981"/>
      <c r="S44" s="1324" t="s">
        <v>121</v>
      </c>
      <c r="T44" s="1029" t="s">
        <v>838</v>
      </c>
      <c r="U44" s="1055"/>
      <c r="V44" s="1030"/>
      <c r="W44" s="1044"/>
      <c r="AE44" s="981">
        <v>37</v>
      </c>
    </row>
    <row r="45" spans="1:31" ht="15.75" customHeight="1" x14ac:dyDescent="0.25">
      <c r="A45" s="96" t="s">
        <v>733</v>
      </c>
      <c r="B45" s="163" t="s">
        <v>695</v>
      </c>
      <c r="C45" s="917" t="s">
        <v>608</v>
      </c>
      <c r="D45" s="67">
        <f>Poeng!T106</f>
        <v>0</v>
      </c>
      <c r="E45" s="49"/>
      <c r="F45" s="52">
        <f>Poeng!AB106</f>
        <v>0</v>
      </c>
      <c r="H45" s="212">
        <f t="shared" si="4"/>
        <v>1</v>
      </c>
      <c r="I45" s="365" t="str">
        <f t="shared" si="3"/>
        <v>FEIL</v>
      </c>
      <c r="N45" s="354" t="s">
        <v>362</v>
      </c>
      <c r="O45" s="348" t="b">
        <f t="shared" si="2"/>
        <v>0</v>
      </c>
      <c r="R45" s="981" t="s">
        <v>741</v>
      </c>
      <c r="S45" s="1325"/>
      <c r="T45" s="990" t="s">
        <v>839</v>
      </c>
      <c r="U45" s="1049">
        <v>2</v>
      </c>
      <c r="V45" s="1060" t="s">
        <v>346</v>
      </c>
      <c r="W45" s="1044"/>
      <c r="AE45" s="981">
        <v>38</v>
      </c>
    </row>
    <row r="46" spans="1:31" ht="15.75" customHeight="1" x14ac:dyDescent="0.25">
      <c r="A46" s="96" t="s">
        <v>734</v>
      </c>
      <c r="B46" s="166" t="s">
        <v>696</v>
      </c>
      <c r="C46" s="917" t="s">
        <v>609</v>
      </c>
      <c r="D46" s="67">
        <f>Poeng!T107</f>
        <v>0</v>
      </c>
      <c r="E46" s="49"/>
      <c r="F46" s="52">
        <f>Poeng!AB107</f>
        <v>0</v>
      </c>
      <c r="H46" s="212">
        <f t="shared" si="4"/>
        <v>2</v>
      </c>
      <c r="I46" s="365" t="str">
        <f t="shared" si="3"/>
        <v>FEIL</v>
      </c>
      <c r="N46" s="354" t="s">
        <v>149</v>
      </c>
      <c r="O46" s="348" t="b">
        <f t="shared" si="2"/>
        <v>0</v>
      </c>
      <c r="R46" s="981" t="s">
        <v>742</v>
      </c>
      <c r="S46" s="1326"/>
      <c r="T46" s="989" t="s">
        <v>840</v>
      </c>
      <c r="U46" s="1049">
        <v>1</v>
      </c>
      <c r="V46" s="1060" t="s">
        <v>346</v>
      </c>
      <c r="W46" s="1044"/>
      <c r="AE46" s="981">
        <v>39</v>
      </c>
    </row>
    <row r="47" spans="1:31" s="30" customFormat="1" ht="15.75" customHeight="1" x14ac:dyDescent="0.25">
      <c r="A47" s="96" t="s">
        <v>735</v>
      </c>
      <c r="B47" s="166" t="s">
        <v>694</v>
      </c>
      <c r="C47" s="917" t="s">
        <v>610</v>
      </c>
      <c r="D47" s="67">
        <f>Poeng!T108</f>
        <v>0</v>
      </c>
      <c r="E47" s="49"/>
      <c r="F47" s="52">
        <f>Poeng!AB108</f>
        <v>0</v>
      </c>
      <c r="G47"/>
      <c r="H47" s="212">
        <f t="shared" si="4"/>
        <v>1</v>
      </c>
      <c r="I47" s="365" t="str">
        <f t="shared" si="3"/>
        <v>FEIL</v>
      </c>
      <c r="J47"/>
      <c r="K47"/>
      <c r="N47" s="354" t="s">
        <v>150</v>
      </c>
      <c r="O47" s="348" t="b">
        <f t="shared" si="2"/>
        <v>0</v>
      </c>
      <c r="Q47" s="981"/>
      <c r="R47" s="981" t="s">
        <v>743</v>
      </c>
      <c r="S47" s="991" t="s">
        <v>123</v>
      </c>
      <c r="T47" s="994" t="s">
        <v>352</v>
      </c>
      <c r="U47" s="1047" t="s">
        <v>234</v>
      </c>
      <c r="V47" s="1058" t="s">
        <v>346</v>
      </c>
      <c r="W47" s="1044"/>
      <c r="AE47" s="981">
        <v>40</v>
      </c>
    </row>
    <row r="48" spans="1:31" ht="15.75" thickBot="1" x14ac:dyDescent="0.3">
      <c r="A48" s="137" t="s">
        <v>118</v>
      </c>
      <c r="B48" s="834" t="s">
        <v>118</v>
      </c>
      <c r="C48" s="832" t="s">
        <v>112</v>
      </c>
      <c r="D48" s="67">
        <f>Poeng!T109</f>
        <v>0</v>
      </c>
      <c r="E48" s="69"/>
      <c r="F48" s="52">
        <f>Poeng!AB109</f>
        <v>0</v>
      </c>
      <c r="G48" s="30"/>
      <c r="H48" s="961">
        <f t="shared" si="4"/>
        <v>0</v>
      </c>
      <c r="I48" s="365" t="str">
        <f t="shared" si="3"/>
        <v>OK</v>
      </c>
      <c r="J48" s="30"/>
      <c r="K48" s="30"/>
      <c r="N48" s="354" t="s">
        <v>313</v>
      </c>
      <c r="O48" s="348" t="b">
        <f t="shared" si="2"/>
        <v>0</v>
      </c>
      <c r="R48" s="981"/>
      <c r="S48" s="987"/>
      <c r="T48" s="985"/>
      <c r="U48" s="1045"/>
      <c r="V48" s="1046"/>
      <c r="W48" s="1044"/>
      <c r="AE48" s="981">
        <v>41</v>
      </c>
    </row>
    <row r="49" spans="1:31" ht="15.75" thickBot="1" x14ac:dyDescent="0.3">
      <c r="A49" s="96" t="s">
        <v>736</v>
      </c>
      <c r="B49" s="163" t="s">
        <v>692</v>
      </c>
      <c r="C49" s="917" t="s">
        <v>611</v>
      </c>
      <c r="D49" s="56">
        <f>Poeng!T110</f>
        <v>13</v>
      </c>
      <c r="E49" s="56"/>
      <c r="F49" s="56">
        <f>SUM(F43:F48)</f>
        <v>13</v>
      </c>
      <c r="H49" s="212">
        <f t="shared" si="4"/>
        <v>1</v>
      </c>
      <c r="I49" s="365" t="str">
        <f t="shared" si="3"/>
        <v>FEIL</v>
      </c>
      <c r="N49" s="350"/>
      <c r="O49" s="348" t="b">
        <f t="shared" si="2"/>
        <v>0</v>
      </c>
      <c r="R49" s="981"/>
      <c r="S49" s="986" t="s">
        <v>353</v>
      </c>
      <c r="T49" s="985"/>
      <c r="U49" s="1045"/>
      <c r="V49" s="1046"/>
      <c r="W49" s="1044"/>
      <c r="AE49" s="981">
        <v>42</v>
      </c>
    </row>
    <row r="50" spans="1:31" ht="15.75" thickBot="1" x14ac:dyDescent="0.3">
      <c r="A50" s="96" t="s">
        <v>737</v>
      </c>
      <c r="B50" s="163" t="s">
        <v>695</v>
      </c>
      <c r="C50" s="917" t="s">
        <v>612</v>
      </c>
      <c r="D50" s="30"/>
      <c r="E50" s="30"/>
      <c r="H50" s="212">
        <f t="shared" si="4"/>
        <v>1</v>
      </c>
      <c r="I50" s="365" t="str">
        <f t="shared" si="3"/>
        <v>FEIL</v>
      </c>
      <c r="N50" s="351" t="s">
        <v>363</v>
      </c>
      <c r="O50" s="348" t="b">
        <f t="shared" si="2"/>
        <v>0</v>
      </c>
      <c r="R50" s="981"/>
      <c r="S50" s="1324" t="s">
        <v>134</v>
      </c>
      <c r="T50" s="1029" t="s">
        <v>841</v>
      </c>
      <c r="U50" s="1055"/>
      <c r="V50" s="1030"/>
      <c r="W50" s="1044"/>
      <c r="AE50" s="981">
        <v>43</v>
      </c>
    </row>
    <row r="51" spans="1:31" ht="15.75" thickBot="1" x14ac:dyDescent="0.3">
      <c r="A51" s="96" t="s">
        <v>738</v>
      </c>
      <c r="B51" s="166" t="s">
        <v>696</v>
      </c>
      <c r="C51" s="917" t="s">
        <v>613</v>
      </c>
      <c r="D51" s="53"/>
      <c r="E51" s="53"/>
      <c r="F51" s="53"/>
      <c r="H51" s="212">
        <f t="shared" si="4"/>
        <v>1</v>
      </c>
      <c r="I51" s="365" t="str">
        <f t="shared" si="3"/>
        <v>FEIL</v>
      </c>
      <c r="N51" s="354" t="s">
        <v>168</v>
      </c>
      <c r="O51" s="348" t="b">
        <f t="shared" si="2"/>
        <v>0</v>
      </c>
      <c r="R51" s="981" t="s">
        <v>744</v>
      </c>
      <c r="S51" s="1325"/>
      <c r="T51" s="990" t="s">
        <v>619</v>
      </c>
      <c r="U51" s="1047" t="s">
        <v>234</v>
      </c>
      <c r="V51" s="1057" t="s">
        <v>346</v>
      </c>
      <c r="W51" s="1044"/>
      <c r="AE51" s="981">
        <v>44</v>
      </c>
    </row>
    <row r="52" spans="1:31" x14ac:dyDescent="0.25">
      <c r="A52" s="96"/>
      <c r="B52" s="701" t="s">
        <v>119</v>
      </c>
      <c r="C52" s="702"/>
      <c r="D52" s="52">
        <f>Poeng!T113</f>
        <v>5</v>
      </c>
      <c r="E52" s="51"/>
      <c r="F52" s="52">
        <f>Poeng!AB113</f>
        <v>5</v>
      </c>
      <c r="H52" s="962">
        <f t="shared" si="4"/>
        <v>0</v>
      </c>
      <c r="I52" s="365" t="str">
        <f t="shared" si="3"/>
        <v>FEIL</v>
      </c>
      <c r="N52" s="354" t="s">
        <v>169</v>
      </c>
      <c r="O52" s="348" t="b">
        <f t="shared" si="2"/>
        <v>0</v>
      </c>
      <c r="R52" s="981" t="s">
        <v>745</v>
      </c>
      <c r="S52" s="1325"/>
      <c r="T52" s="989" t="s">
        <v>620</v>
      </c>
      <c r="U52" s="1047">
        <v>1</v>
      </c>
      <c r="V52" s="1057" t="s">
        <v>346</v>
      </c>
      <c r="W52" s="1044"/>
      <c r="AE52" s="981">
        <v>45</v>
      </c>
    </row>
    <row r="53" spans="1:31" x14ac:dyDescent="0.25">
      <c r="A53" s="137" t="s">
        <v>120</v>
      </c>
      <c r="B53" s="834" t="s">
        <v>120</v>
      </c>
      <c r="C53" s="832" t="s">
        <v>126</v>
      </c>
      <c r="D53" s="50">
        <f>Poeng!T115</f>
        <v>1</v>
      </c>
      <c r="E53" s="49"/>
      <c r="F53" s="52">
        <f>Poeng!AB115</f>
        <v>1</v>
      </c>
      <c r="H53" s="961">
        <f t="shared" si="4"/>
        <v>0</v>
      </c>
      <c r="I53" s="365" t="str">
        <f t="shared" si="3"/>
        <v>FEIL</v>
      </c>
      <c r="N53" s="354" t="s">
        <v>170</v>
      </c>
      <c r="O53" s="348" t="b">
        <f t="shared" si="2"/>
        <v>0</v>
      </c>
      <c r="R53" s="981" t="s">
        <v>746</v>
      </c>
      <c r="S53" s="1325"/>
      <c r="T53" s="989" t="s">
        <v>621</v>
      </c>
      <c r="U53" s="1047">
        <v>22</v>
      </c>
      <c r="V53" s="1057" t="s">
        <v>346</v>
      </c>
      <c r="W53" s="1044"/>
      <c r="AE53" s="981">
        <v>46</v>
      </c>
    </row>
    <row r="54" spans="1:31" x14ac:dyDescent="0.25">
      <c r="A54" s="96"/>
      <c r="B54" s="163" t="s">
        <v>692</v>
      </c>
      <c r="C54" s="940" t="s">
        <v>614</v>
      </c>
      <c r="D54" s="50">
        <f>Poeng!T117</f>
        <v>2</v>
      </c>
      <c r="E54" s="49"/>
      <c r="F54" s="52">
        <f>Poeng!AB117</f>
        <v>2</v>
      </c>
      <c r="H54" s="212">
        <f t="shared" si="4"/>
        <v>0</v>
      </c>
      <c r="I54" s="365" t="str">
        <f t="shared" si="3"/>
        <v>FEIL</v>
      </c>
      <c r="N54" s="354" t="s">
        <v>171</v>
      </c>
      <c r="O54" s="348" t="b">
        <f t="shared" si="2"/>
        <v>0</v>
      </c>
      <c r="R54" s="981" t="s">
        <v>747</v>
      </c>
      <c r="S54" s="1325"/>
      <c r="T54" s="989" t="s">
        <v>622</v>
      </c>
      <c r="U54" s="1047">
        <v>1</v>
      </c>
      <c r="V54" s="1057" t="s">
        <v>346</v>
      </c>
      <c r="W54" s="1044"/>
      <c r="AE54" s="981">
        <v>47</v>
      </c>
    </row>
    <row r="55" spans="1:31" ht="15.75" thickBot="1" x14ac:dyDescent="0.3">
      <c r="A55" s="96" t="s">
        <v>740</v>
      </c>
      <c r="B55" s="163" t="s">
        <v>695</v>
      </c>
      <c r="C55" s="917" t="s">
        <v>615</v>
      </c>
      <c r="D55" s="50">
        <f>Poeng!T121</f>
        <v>1</v>
      </c>
      <c r="E55" s="49"/>
      <c r="F55" s="52">
        <f>Poeng!AB121</f>
        <v>1</v>
      </c>
      <c r="H55" s="212">
        <f t="shared" si="4"/>
        <v>3</v>
      </c>
      <c r="I55" s="365" t="str">
        <f t="shared" si="3"/>
        <v>FEIL</v>
      </c>
      <c r="N55" s="350"/>
      <c r="O55" s="348" t="b">
        <f t="shared" si="2"/>
        <v>1</v>
      </c>
      <c r="R55" s="981" t="s">
        <v>748</v>
      </c>
      <c r="S55" s="1326"/>
      <c r="T55" s="989" t="s">
        <v>623</v>
      </c>
      <c r="U55" s="1047" t="s">
        <v>234</v>
      </c>
      <c r="V55" s="1057" t="s">
        <v>346</v>
      </c>
      <c r="W55" s="1044"/>
      <c r="AE55" s="981">
        <v>48</v>
      </c>
    </row>
    <row r="56" spans="1:31" ht="15.75" thickBot="1" x14ac:dyDescent="0.3">
      <c r="A56" s="137" t="s">
        <v>121</v>
      </c>
      <c r="B56" s="834" t="s">
        <v>121</v>
      </c>
      <c r="C56" s="832" t="s">
        <v>113</v>
      </c>
      <c r="D56" s="56">
        <f>Poeng!T123</f>
        <v>9</v>
      </c>
      <c r="E56" s="56"/>
      <c r="F56" s="56">
        <f>SUM(F52:F55)</f>
        <v>9</v>
      </c>
      <c r="H56" s="961">
        <f t="shared" si="4"/>
        <v>0</v>
      </c>
      <c r="I56" s="365" t="str">
        <f t="shared" si="3"/>
        <v>FEIL</v>
      </c>
      <c r="N56" s="351" t="s">
        <v>368</v>
      </c>
      <c r="O56" s="348" t="b">
        <f t="shared" si="2"/>
        <v>0</v>
      </c>
      <c r="R56" s="981"/>
      <c r="S56" s="1324" t="s">
        <v>135</v>
      </c>
      <c r="T56" s="1031" t="s">
        <v>842</v>
      </c>
      <c r="U56" s="1032"/>
      <c r="V56" s="1033"/>
      <c r="W56" s="1044"/>
      <c r="AE56" s="981">
        <v>49</v>
      </c>
    </row>
    <row r="57" spans="1:31" ht="15.75" thickBot="1" x14ac:dyDescent="0.3">
      <c r="A57" s="96" t="s">
        <v>741</v>
      </c>
      <c r="B57" s="163" t="s">
        <v>692</v>
      </c>
      <c r="C57" s="917" t="s">
        <v>616</v>
      </c>
      <c r="D57" s="30"/>
      <c r="E57" s="30"/>
      <c r="H57" s="212">
        <f t="shared" si="4"/>
        <v>2</v>
      </c>
      <c r="I57" s="365" t="str">
        <f t="shared" si="3"/>
        <v>FEIL</v>
      </c>
      <c r="N57" s="354" t="s">
        <v>172</v>
      </c>
      <c r="O57" s="348" t="b">
        <f t="shared" si="2"/>
        <v>0</v>
      </c>
      <c r="R57" s="981" t="s">
        <v>252</v>
      </c>
      <c r="S57" s="1325"/>
      <c r="T57" s="989" t="s">
        <v>624</v>
      </c>
      <c r="U57" s="1047">
        <v>1</v>
      </c>
      <c r="V57" s="1061" t="s">
        <v>346</v>
      </c>
      <c r="W57" s="1044"/>
      <c r="AE57" s="981">
        <v>50</v>
      </c>
    </row>
    <row r="58" spans="1:31" ht="15.75" thickBot="1" x14ac:dyDescent="0.3">
      <c r="A58" s="96" t="s">
        <v>742</v>
      </c>
      <c r="B58" s="163" t="s">
        <v>695</v>
      </c>
      <c r="C58" s="917" t="s">
        <v>617</v>
      </c>
      <c r="D58" s="53"/>
      <c r="E58" s="53"/>
      <c r="F58" s="53"/>
      <c r="H58" s="212">
        <f t="shared" si="4"/>
        <v>1</v>
      </c>
      <c r="I58" s="365" t="str">
        <f t="shared" si="3"/>
        <v>FEIL</v>
      </c>
      <c r="N58" s="354" t="s">
        <v>173</v>
      </c>
      <c r="O58" s="348" t="b">
        <f t="shared" si="2"/>
        <v>0</v>
      </c>
      <c r="R58" s="981" t="s">
        <v>354</v>
      </c>
      <c r="S58" s="1325"/>
      <c r="T58" s="989" t="s">
        <v>625</v>
      </c>
      <c r="U58" s="1047">
        <v>1</v>
      </c>
      <c r="V58" s="1061" t="s">
        <v>346</v>
      </c>
      <c r="W58" s="1044"/>
      <c r="AE58" s="981">
        <v>51</v>
      </c>
    </row>
    <row r="59" spans="1:31" s="367" customFormat="1" x14ac:dyDescent="0.25">
      <c r="A59" s="96"/>
      <c r="B59" s="701" t="s">
        <v>122</v>
      </c>
      <c r="C59" s="700"/>
      <c r="D59" s="52">
        <f>Poeng!T126</f>
        <v>5</v>
      </c>
      <c r="E59" s="51"/>
      <c r="F59" s="52">
        <f>Poeng!AB126</f>
        <v>5</v>
      </c>
      <c r="G59"/>
      <c r="H59" s="962">
        <f t="shared" si="4"/>
        <v>0</v>
      </c>
      <c r="I59" s="365" t="str">
        <f t="shared" si="3"/>
        <v>FEIL</v>
      </c>
      <c r="J59"/>
      <c r="K59"/>
      <c r="N59" s="369"/>
      <c r="Q59" s="981"/>
      <c r="R59" s="981" t="s">
        <v>749</v>
      </c>
      <c r="S59" s="1326"/>
      <c r="T59" s="989" t="s">
        <v>626</v>
      </c>
      <c r="U59" s="1047" t="s">
        <v>234</v>
      </c>
      <c r="V59" s="1061" t="s">
        <v>346</v>
      </c>
      <c r="W59" s="1044"/>
      <c r="AE59" s="981">
        <v>52</v>
      </c>
    </row>
    <row r="60" spans="1:31" x14ac:dyDescent="0.25">
      <c r="A60" s="137" t="s">
        <v>123</v>
      </c>
      <c r="B60" s="834" t="s">
        <v>123</v>
      </c>
      <c r="C60" s="832" t="s">
        <v>115</v>
      </c>
      <c r="D60" s="52">
        <f>Poeng!T130</f>
        <v>3</v>
      </c>
      <c r="E60" s="51"/>
      <c r="F60" s="52">
        <f>Poeng!AB130</f>
        <v>3</v>
      </c>
      <c r="G60" s="367"/>
      <c r="H60" s="961">
        <f t="shared" si="4"/>
        <v>0</v>
      </c>
      <c r="I60" s="365" t="str">
        <f t="shared" si="3"/>
        <v>FEIL</v>
      </c>
      <c r="J60" s="367"/>
      <c r="K60" s="367"/>
      <c r="N60" s="354" t="s">
        <v>174</v>
      </c>
      <c r="O60" s="348" t="b">
        <f t="shared" si="2"/>
        <v>0</v>
      </c>
      <c r="R60" s="981" t="s">
        <v>750</v>
      </c>
      <c r="S60" s="991" t="s">
        <v>136</v>
      </c>
      <c r="T60" s="999" t="s">
        <v>355</v>
      </c>
      <c r="U60" s="1047">
        <v>1</v>
      </c>
      <c r="V60" s="1061" t="s">
        <v>346</v>
      </c>
      <c r="W60" s="1044"/>
      <c r="AE60" s="981">
        <v>53</v>
      </c>
    </row>
    <row r="61" spans="1:31" x14ac:dyDescent="0.25">
      <c r="A61" s="96" t="s">
        <v>743</v>
      </c>
      <c r="B61" s="192" t="s">
        <v>692</v>
      </c>
      <c r="C61" s="917" t="s">
        <v>618</v>
      </c>
      <c r="D61" s="52">
        <f>Poeng!T134</f>
        <v>3</v>
      </c>
      <c r="E61" s="49"/>
      <c r="F61" s="52">
        <f>Poeng!AB134</f>
        <v>3</v>
      </c>
      <c r="H61" s="212">
        <f t="shared" si="4"/>
        <v>0</v>
      </c>
      <c r="I61" s="365" t="str">
        <f t="shared" si="3"/>
        <v>FEIL</v>
      </c>
      <c r="N61" s="350"/>
      <c r="O61" s="348" t="b">
        <f t="shared" si="2"/>
        <v>0</v>
      </c>
      <c r="R61" s="981"/>
      <c r="S61" s="1324" t="s">
        <v>138</v>
      </c>
      <c r="T61" s="1026" t="s">
        <v>356</v>
      </c>
      <c r="U61" s="1054"/>
      <c r="V61" s="1028"/>
      <c r="W61" s="1044"/>
      <c r="AE61" s="981">
        <v>54</v>
      </c>
    </row>
    <row r="62" spans="1:31" s="367" customFormat="1" ht="15.75" thickBot="1" x14ac:dyDescent="0.3">
      <c r="A62" s="96"/>
      <c r="B62" s="703" t="s">
        <v>124</v>
      </c>
      <c r="C62" s="704"/>
      <c r="D62" s="52">
        <f>Poeng!T138</f>
        <v>4</v>
      </c>
      <c r="E62" s="49"/>
      <c r="F62" s="52">
        <f>Poeng!AB138</f>
        <v>4</v>
      </c>
      <c r="G62"/>
      <c r="H62" s="962">
        <f t="shared" si="4"/>
        <v>0</v>
      </c>
      <c r="I62" s="365" t="str">
        <f t="shared" si="3"/>
        <v>FEIL</v>
      </c>
      <c r="J62"/>
      <c r="K62"/>
      <c r="N62" s="368"/>
      <c r="Q62" s="981"/>
      <c r="R62" s="981" t="s">
        <v>752</v>
      </c>
      <c r="S62" s="1325"/>
      <c r="T62" s="989" t="s">
        <v>629</v>
      </c>
      <c r="U62" s="1050" t="s">
        <v>234</v>
      </c>
      <c r="V62" s="1062" t="s">
        <v>351</v>
      </c>
      <c r="W62" s="1044"/>
      <c r="AE62" s="981">
        <v>55</v>
      </c>
    </row>
    <row r="63" spans="1:31" ht="15.75" thickBot="1" x14ac:dyDescent="0.3">
      <c r="A63" s="96" t="s">
        <v>882</v>
      </c>
      <c r="B63" s="201"/>
      <c r="C63" s="202" t="s">
        <v>213</v>
      </c>
      <c r="D63" s="52">
        <f>Poeng!T144</f>
        <v>3</v>
      </c>
      <c r="E63" s="49"/>
      <c r="F63" s="52">
        <f>Poeng!AB144</f>
        <v>3</v>
      </c>
      <c r="G63" s="367"/>
      <c r="H63" s="226">
        <f t="shared" si="4"/>
        <v>0</v>
      </c>
      <c r="I63" s="365" t="str">
        <f t="shared" si="3"/>
        <v>FEIL</v>
      </c>
      <c r="J63" s="367"/>
      <c r="K63" s="367"/>
      <c r="N63" s="351" t="s">
        <v>370</v>
      </c>
      <c r="O63" s="348" t="b">
        <f t="shared" si="2"/>
        <v>0</v>
      </c>
      <c r="R63" s="981" t="s">
        <v>753</v>
      </c>
      <c r="S63" s="1326"/>
      <c r="T63" s="989" t="s">
        <v>630</v>
      </c>
      <c r="U63" s="1050" t="s">
        <v>234</v>
      </c>
      <c r="V63" s="1062" t="s">
        <v>351</v>
      </c>
      <c r="W63" s="1044"/>
      <c r="AE63" s="981">
        <v>56</v>
      </c>
    </row>
    <row r="64" spans="1:31" ht="15.75" thickBot="1" x14ac:dyDescent="0.3">
      <c r="A64" s="96"/>
      <c r="B64" s="96"/>
      <c r="C64" s="96"/>
      <c r="D64" s="52">
        <f>Poeng!T148</f>
        <v>3</v>
      </c>
      <c r="E64" s="49"/>
      <c r="F64" s="52">
        <f>Poeng!AB148</f>
        <v>3</v>
      </c>
      <c r="H64" s="96">
        <f t="shared" si="4"/>
        <v>0</v>
      </c>
      <c r="I64" s="365" t="str">
        <f t="shared" si="3"/>
        <v>FEIL</v>
      </c>
      <c r="N64" s="354" t="s">
        <v>176</v>
      </c>
      <c r="O64" s="348" t="b">
        <f t="shared" si="2"/>
        <v>0</v>
      </c>
      <c r="R64" s="981"/>
      <c r="S64" s="1324" t="s">
        <v>139</v>
      </c>
      <c r="T64" s="1026" t="s">
        <v>357</v>
      </c>
      <c r="U64" s="1054"/>
      <c r="V64" s="1028"/>
      <c r="W64" s="1044"/>
      <c r="AE64" s="981">
        <v>57</v>
      </c>
    </row>
    <row r="65" spans="1:31" ht="15.75" thickBot="1" x14ac:dyDescent="0.3">
      <c r="A65" s="96"/>
      <c r="B65" s="145"/>
      <c r="C65" s="146" t="s">
        <v>65</v>
      </c>
      <c r="D65" s="56">
        <f>Poeng!T152</f>
        <v>21</v>
      </c>
      <c r="E65" s="56"/>
      <c r="F65" s="56">
        <f>SUM(F59:F64)</f>
        <v>21</v>
      </c>
      <c r="H65" s="138">
        <f t="shared" si="4"/>
        <v>0</v>
      </c>
      <c r="I65" s="365" t="str">
        <f t="shared" si="3"/>
        <v>FEIL</v>
      </c>
      <c r="N65" s="354" t="s">
        <v>177</v>
      </c>
      <c r="O65" s="348" t="b">
        <f t="shared" si="2"/>
        <v>0</v>
      </c>
      <c r="R65" s="981" t="s">
        <v>754</v>
      </c>
      <c r="S65" s="1325"/>
      <c r="T65" s="989" t="s">
        <v>631</v>
      </c>
      <c r="U65" s="1047">
        <v>1</v>
      </c>
      <c r="V65" s="1057" t="s">
        <v>346</v>
      </c>
      <c r="W65" s="1044"/>
      <c r="AE65" s="981">
        <v>58</v>
      </c>
    </row>
    <row r="66" spans="1:31" ht="15.75" thickBot="1" x14ac:dyDescent="0.3">
      <c r="A66" s="137" t="s">
        <v>134</v>
      </c>
      <c r="B66" s="833" t="s">
        <v>134</v>
      </c>
      <c r="C66" s="831" t="s">
        <v>127</v>
      </c>
      <c r="D66" s="30"/>
      <c r="E66" s="30"/>
      <c r="H66" s="150">
        <f t="shared" si="4"/>
        <v>0</v>
      </c>
      <c r="I66" s="365" t="str">
        <f t="shared" si="3"/>
        <v>OK</v>
      </c>
      <c r="N66" s="354" t="s">
        <v>372</v>
      </c>
      <c r="O66" s="348" t="b">
        <f t="shared" si="2"/>
        <v>0</v>
      </c>
      <c r="R66" s="981" t="s">
        <v>755</v>
      </c>
      <c r="S66" s="1326"/>
      <c r="T66" s="989" t="s">
        <v>632</v>
      </c>
      <c r="U66" s="1047">
        <v>2</v>
      </c>
      <c r="V66" s="1057" t="s">
        <v>346</v>
      </c>
      <c r="W66" s="1044"/>
      <c r="AE66" s="981">
        <v>59</v>
      </c>
    </row>
    <row r="67" spans="1:31" ht="15.75" thickBot="1" x14ac:dyDescent="0.3">
      <c r="A67" s="96" t="s">
        <v>744</v>
      </c>
      <c r="B67" s="163" t="s">
        <v>692</v>
      </c>
      <c r="C67" s="917" t="s">
        <v>619</v>
      </c>
      <c r="D67" s="53"/>
      <c r="E67" s="53"/>
      <c r="F67" s="53"/>
      <c r="H67" s="221">
        <f t="shared" si="4"/>
        <v>0</v>
      </c>
      <c r="I67" s="365" t="str">
        <f t="shared" si="3"/>
        <v>OK</v>
      </c>
      <c r="N67" s="354" t="s">
        <v>374</v>
      </c>
      <c r="O67" s="348" t="b">
        <f t="shared" si="2"/>
        <v>0</v>
      </c>
      <c r="R67" s="981"/>
      <c r="S67" s="1324" t="s">
        <v>140</v>
      </c>
      <c r="T67" s="1026" t="s">
        <v>358</v>
      </c>
      <c r="U67" s="1054"/>
      <c r="V67" s="1028"/>
      <c r="W67" s="1044"/>
      <c r="AE67" s="981">
        <v>60</v>
      </c>
    </row>
    <row r="68" spans="1:31" ht="15" customHeight="1" x14ac:dyDescent="0.25">
      <c r="A68" s="96" t="s">
        <v>745</v>
      </c>
      <c r="B68" s="163" t="s">
        <v>695</v>
      </c>
      <c r="C68" s="917" t="s">
        <v>620</v>
      </c>
      <c r="D68" s="52">
        <f>Poeng!T155</f>
        <v>5</v>
      </c>
      <c r="E68" s="51"/>
      <c r="F68" s="52">
        <f>Poeng!AB155</f>
        <v>5</v>
      </c>
      <c r="H68" s="221">
        <f t="shared" si="4"/>
        <v>1</v>
      </c>
      <c r="I68" s="365" t="str">
        <f t="shared" si="3"/>
        <v>FEIL</v>
      </c>
      <c r="N68" s="354" t="s">
        <v>178</v>
      </c>
      <c r="O68" s="348" t="b">
        <f t="shared" si="2"/>
        <v>0</v>
      </c>
      <c r="R68" s="981" t="s">
        <v>756</v>
      </c>
      <c r="S68" s="1325"/>
      <c r="T68" s="989" t="s">
        <v>633</v>
      </c>
      <c r="U68" s="1047" t="s">
        <v>234</v>
      </c>
      <c r="V68" s="1057" t="s">
        <v>351</v>
      </c>
      <c r="W68" s="1044"/>
      <c r="AE68" s="981">
        <v>61</v>
      </c>
    </row>
    <row r="69" spans="1:31" x14ac:dyDescent="0.25">
      <c r="A69" s="96" t="s">
        <v>746</v>
      </c>
      <c r="B69" s="163" t="s">
        <v>696</v>
      </c>
      <c r="C69" s="917" t="s">
        <v>621</v>
      </c>
      <c r="D69" s="50">
        <f>Poeng!T159</f>
        <v>0</v>
      </c>
      <c r="E69" s="49"/>
      <c r="F69" s="52">
        <f>Poeng!AB159</f>
        <v>0</v>
      </c>
      <c r="H69" s="221">
        <f t="shared" si="4"/>
        <v>22</v>
      </c>
      <c r="I69" s="365" t="str">
        <f t="shared" si="3"/>
        <v>FEIL</v>
      </c>
      <c r="N69" s="350"/>
      <c r="O69" s="348" t="b">
        <f t="shared" si="2"/>
        <v>1</v>
      </c>
      <c r="R69" s="981" t="s">
        <v>757</v>
      </c>
      <c r="S69" s="1326"/>
      <c r="T69" s="989" t="s">
        <v>634</v>
      </c>
      <c r="U69" s="1047" t="s">
        <v>234</v>
      </c>
      <c r="V69" s="1057" t="s">
        <v>351</v>
      </c>
      <c r="W69" s="1044"/>
      <c r="AE69" s="981">
        <v>62</v>
      </c>
    </row>
    <row r="70" spans="1:31" x14ac:dyDescent="0.25">
      <c r="A70" s="96" t="s">
        <v>747</v>
      </c>
      <c r="B70" s="163" t="s">
        <v>694</v>
      </c>
      <c r="C70" s="917" t="s">
        <v>622</v>
      </c>
      <c r="D70" s="50">
        <f>Poeng!T160</f>
        <v>1</v>
      </c>
      <c r="E70" s="49"/>
      <c r="F70" s="52">
        <f>Poeng!AB160</f>
        <v>1</v>
      </c>
      <c r="H70" s="221">
        <f t="shared" si="4"/>
        <v>1</v>
      </c>
      <c r="I70" s="365" t="str">
        <f t="shared" si="3"/>
        <v>OK</v>
      </c>
      <c r="N70" s="351" t="s">
        <v>376</v>
      </c>
      <c r="O70" s="348" t="b">
        <f t="shared" si="2"/>
        <v>0</v>
      </c>
      <c r="R70" s="981" t="s">
        <v>758</v>
      </c>
      <c r="S70" s="991" t="s">
        <v>141</v>
      </c>
      <c r="T70" s="994" t="s">
        <v>359</v>
      </c>
      <c r="U70" s="1047" t="s">
        <v>234</v>
      </c>
      <c r="V70" s="1057" t="s">
        <v>346</v>
      </c>
      <c r="W70" s="1044"/>
      <c r="AE70" s="981">
        <v>63</v>
      </c>
    </row>
    <row r="71" spans="1:31" ht="15.75" thickBot="1" x14ac:dyDescent="0.3">
      <c r="A71" s="96" t="s">
        <v>748</v>
      </c>
      <c r="B71" s="163" t="s">
        <v>693</v>
      </c>
      <c r="C71" s="917" t="s">
        <v>623</v>
      </c>
      <c r="D71" s="50">
        <f>Poeng!T164</f>
        <v>1</v>
      </c>
      <c r="E71" s="49"/>
      <c r="F71" s="52">
        <f>Poeng!AB164</f>
        <v>1</v>
      </c>
      <c r="H71" s="221">
        <f t="shared" si="4"/>
        <v>0</v>
      </c>
      <c r="I71" s="365" t="str">
        <f t="shared" si="3"/>
        <v>FEIL</v>
      </c>
      <c r="N71" s="354" t="s">
        <v>179</v>
      </c>
      <c r="O71" s="348" t="b">
        <f t="shared" si="2"/>
        <v>0</v>
      </c>
      <c r="R71" s="981"/>
      <c r="S71" s="987"/>
      <c r="T71" s="985"/>
      <c r="U71" s="1045"/>
      <c r="V71" s="1046"/>
      <c r="W71" s="1044"/>
      <c r="AE71" s="981">
        <v>64</v>
      </c>
    </row>
    <row r="72" spans="1:31" ht="15.75" thickBot="1" x14ac:dyDescent="0.3">
      <c r="A72" s="137" t="s">
        <v>135</v>
      </c>
      <c r="B72" s="834" t="s">
        <v>135</v>
      </c>
      <c r="C72" s="832" t="s">
        <v>133</v>
      </c>
      <c r="D72" s="56">
        <f>Poeng!T166</f>
        <v>7</v>
      </c>
      <c r="E72" s="56"/>
      <c r="F72" s="56">
        <f>SUM(F68:F71)</f>
        <v>7</v>
      </c>
      <c r="H72" s="963">
        <f t="shared" ref="H72:H135" si="5">SUMIF($R$7:$R$182,A72,$U$7:$U$182)</f>
        <v>0</v>
      </c>
      <c r="I72" s="365" t="str">
        <f t="shared" si="3"/>
        <v>FEIL</v>
      </c>
      <c r="N72" s="354" t="s">
        <v>180</v>
      </c>
      <c r="O72" s="348" t="b">
        <f t="shared" si="2"/>
        <v>0</v>
      </c>
      <c r="R72" s="981"/>
      <c r="S72" s="986" t="s">
        <v>360</v>
      </c>
      <c r="T72" s="985"/>
      <c r="U72" s="1045"/>
      <c r="V72" s="1046"/>
      <c r="W72" s="1044"/>
      <c r="AE72" s="981">
        <v>65</v>
      </c>
    </row>
    <row r="73" spans="1:31" ht="15.75" thickBot="1" x14ac:dyDescent="0.3">
      <c r="A73" s="96" t="s">
        <v>252</v>
      </c>
      <c r="B73" s="163" t="s">
        <v>692</v>
      </c>
      <c r="C73" s="917" t="s">
        <v>624</v>
      </c>
      <c r="D73" s="30"/>
      <c r="E73" s="30"/>
      <c r="H73" s="221">
        <f t="shared" si="5"/>
        <v>1</v>
      </c>
      <c r="I73" s="365" t="str">
        <f t="shared" si="3"/>
        <v>FEIL</v>
      </c>
      <c r="N73" s="354" t="s">
        <v>181</v>
      </c>
      <c r="O73" s="348" t="b">
        <f t="shared" ref="O73:O97" si="6">N73=S73</f>
        <v>0</v>
      </c>
      <c r="R73" s="981"/>
      <c r="S73" s="1324" t="s">
        <v>146</v>
      </c>
      <c r="T73" s="1026" t="s">
        <v>843</v>
      </c>
      <c r="U73" s="1054"/>
      <c r="V73" s="1054"/>
      <c r="W73" s="1044"/>
      <c r="AE73" s="981">
        <v>66</v>
      </c>
    </row>
    <row r="74" spans="1:31" ht="15.75" thickBot="1" x14ac:dyDescent="0.3">
      <c r="A74" s="96" t="s">
        <v>354</v>
      </c>
      <c r="B74" s="163" t="s">
        <v>695</v>
      </c>
      <c r="C74" s="917" t="s">
        <v>625</v>
      </c>
      <c r="D74" s="53"/>
      <c r="E74" s="53"/>
      <c r="F74" s="53"/>
      <c r="H74" s="221">
        <f t="shared" si="5"/>
        <v>1</v>
      </c>
      <c r="I74" s="365" t="str">
        <f t="shared" si="3"/>
        <v>FEIL</v>
      </c>
      <c r="N74" s="354" t="s">
        <v>182</v>
      </c>
      <c r="O74" s="348" t="b">
        <f t="shared" si="6"/>
        <v>0</v>
      </c>
      <c r="R74" s="981" t="s">
        <v>759</v>
      </c>
      <c r="S74" s="1325"/>
      <c r="T74" s="989" t="s">
        <v>636</v>
      </c>
      <c r="U74" s="1047">
        <v>2</v>
      </c>
      <c r="V74" s="1060" t="s">
        <v>346</v>
      </c>
      <c r="W74" s="1044"/>
      <c r="AE74" s="981">
        <v>67</v>
      </c>
    </row>
    <row r="75" spans="1:31" x14ac:dyDescent="0.25">
      <c r="A75" s="96" t="s">
        <v>749</v>
      </c>
      <c r="B75" s="166" t="s">
        <v>696</v>
      </c>
      <c r="C75" s="917" t="s">
        <v>626</v>
      </c>
      <c r="D75" s="52">
        <f>Poeng!T169</f>
        <v>2</v>
      </c>
      <c r="E75" s="51"/>
      <c r="F75" s="52">
        <f>Poeng!AB169</f>
        <v>2</v>
      </c>
      <c r="H75" s="221">
        <f t="shared" si="5"/>
        <v>0</v>
      </c>
      <c r="I75" s="365" t="str">
        <f t="shared" ref="I75:I107" si="7">IF(F75=H75,"OK","FEIL")</f>
        <v>FEIL</v>
      </c>
      <c r="N75" s="354" t="s">
        <v>183</v>
      </c>
      <c r="O75" s="348" t="b">
        <f t="shared" si="6"/>
        <v>0</v>
      </c>
      <c r="R75" s="981" t="s">
        <v>760</v>
      </c>
      <c r="S75" s="1326"/>
      <c r="T75" s="989" t="s">
        <v>637</v>
      </c>
      <c r="U75" s="1052">
        <v>1</v>
      </c>
      <c r="V75" s="1063" t="s">
        <v>346</v>
      </c>
      <c r="W75" s="1044"/>
      <c r="AE75" s="981">
        <v>68</v>
      </c>
    </row>
    <row r="76" spans="1:31" s="367" customFormat="1" x14ac:dyDescent="0.25">
      <c r="A76" s="137" t="s">
        <v>136</v>
      </c>
      <c r="B76" s="942" t="s">
        <v>136</v>
      </c>
      <c r="C76" s="832" t="s">
        <v>128</v>
      </c>
      <c r="D76" s="50">
        <f>Poeng!T171</f>
        <v>2</v>
      </c>
      <c r="E76" s="49"/>
      <c r="F76" s="52">
        <f>Poeng!AB171</f>
        <v>2</v>
      </c>
      <c r="G76"/>
      <c r="H76" s="963">
        <f t="shared" si="5"/>
        <v>0</v>
      </c>
      <c r="I76" s="365" t="str">
        <f t="shared" si="7"/>
        <v>FEIL</v>
      </c>
      <c r="J76"/>
      <c r="K76"/>
      <c r="N76" s="369"/>
      <c r="Q76" s="981"/>
      <c r="R76" s="981" t="s">
        <v>762</v>
      </c>
      <c r="S76" s="991" t="s">
        <v>147</v>
      </c>
      <c r="T76" s="994" t="s">
        <v>844</v>
      </c>
      <c r="U76" s="1052">
        <v>10</v>
      </c>
      <c r="V76" s="1063" t="s">
        <v>346</v>
      </c>
      <c r="W76" s="1044"/>
      <c r="AE76" s="981">
        <v>69</v>
      </c>
    </row>
    <row r="77" spans="1:31" x14ac:dyDescent="0.25">
      <c r="A77" s="96" t="s">
        <v>750</v>
      </c>
      <c r="B77" s="163" t="s">
        <v>692</v>
      </c>
      <c r="C77" s="917" t="s">
        <v>627</v>
      </c>
      <c r="D77" s="50">
        <f>Poeng!T175</f>
        <v>3</v>
      </c>
      <c r="E77" s="49"/>
      <c r="F77" s="52">
        <f>Poeng!AB175</f>
        <v>3</v>
      </c>
      <c r="G77" s="367"/>
      <c r="H77" s="221">
        <f t="shared" si="5"/>
        <v>1</v>
      </c>
      <c r="I77" s="365"/>
      <c r="J77" s="367"/>
      <c r="K77" s="367"/>
      <c r="N77" s="350"/>
      <c r="O77" s="348" t="b">
        <f t="shared" si="6"/>
        <v>1</v>
      </c>
      <c r="R77" s="981"/>
      <c r="S77" s="987"/>
      <c r="T77" s="985"/>
      <c r="U77" s="1045"/>
      <c r="V77" s="1046"/>
      <c r="W77" s="1044"/>
      <c r="AE77" s="981">
        <v>70</v>
      </c>
    </row>
    <row r="78" spans="1:31" x14ac:dyDescent="0.25">
      <c r="A78" s="96" t="s">
        <v>751</v>
      </c>
      <c r="B78" s="163" t="s">
        <v>695</v>
      </c>
      <c r="C78" s="917" t="s">
        <v>628</v>
      </c>
      <c r="D78" s="50">
        <f>Poeng!T179</f>
        <v>4</v>
      </c>
      <c r="E78" s="49"/>
      <c r="F78" s="52">
        <f>Poeng!AB179</f>
        <v>4</v>
      </c>
      <c r="H78" s="1035">
        <f>H77</f>
        <v>1</v>
      </c>
      <c r="I78" s="365" t="str">
        <f t="shared" si="7"/>
        <v>FEIL</v>
      </c>
      <c r="N78" s="351" t="s">
        <v>379</v>
      </c>
      <c r="O78" s="348" t="b">
        <f t="shared" si="6"/>
        <v>0</v>
      </c>
      <c r="R78" s="981"/>
      <c r="S78" s="986" t="s">
        <v>363</v>
      </c>
      <c r="T78" s="985"/>
      <c r="U78" s="1045"/>
      <c r="V78" s="1046"/>
      <c r="W78" s="1044"/>
      <c r="AE78" s="981">
        <v>71</v>
      </c>
    </row>
    <row r="79" spans="1:31" x14ac:dyDescent="0.25">
      <c r="A79" s="96"/>
      <c r="B79" s="701" t="s">
        <v>137</v>
      </c>
      <c r="C79" s="700"/>
      <c r="D79" s="50">
        <f>Poeng!T183</f>
        <v>2</v>
      </c>
      <c r="E79" s="49"/>
      <c r="F79" s="52">
        <f>Poeng!AB183</f>
        <v>2</v>
      </c>
      <c r="H79" s="956">
        <f t="shared" si="5"/>
        <v>0</v>
      </c>
      <c r="I79" s="365" t="str">
        <f t="shared" si="7"/>
        <v>FEIL</v>
      </c>
      <c r="N79" s="354" t="s">
        <v>380</v>
      </c>
      <c r="O79" s="348" t="b">
        <f t="shared" si="6"/>
        <v>0</v>
      </c>
      <c r="R79" s="981" t="s">
        <v>763</v>
      </c>
      <c r="S79" s="991" t="s">
        <v>168</v>
      </c>
      <c r="T79" s="994" t="s">
        <v>364</v>
      </c>
      <c r="U79" s="1052">
        <v>5</v>
      </c>
      <c r="V79" s="1063" t="s">
        <v>346</v>
      </c>
      <c r="W79" s="1044"/>
      <c r="AE79" s="981">
        <v>72</v>
      </c>
    </row>
    <row r="80" spans="1:31" s="367" customFormat="1" x14ac:dyDescent="0.25">
      <c r="A80" s="137" t="s">
        <v>138</v>
      </c>
      <c r="B80" s="834" t="s">
        <v>138</v>
      </c>
      <c r="C80" s="832" t="s">
        <v>129</v>
      </c>
      <c r="D80" s="50">
        <f>Poeng!T187</f>
        <v>1</v>
      </c>
      <c r="E80" s="49"/>
      <c r="F80" s="52">
        <f>Poeng!AB187</f>
        <v>1</v>
      </c>
      <c r="G80"/>
      <c r="H80" s="963">
        <f t="shared" si="5"/>
        <v>0</v>
      </c>
      <c r="I80" s="365" t="str">
        <f t="shared" si="7"/>
        <v>FEIL</v>
      </c>
      <c r="J80"/>
      <c r="K80"/>
      <c r="N80" s="369"/>
      <c r="Q80" s="981"/>
      <c r="R80" s="981" t="s">
        <v>764</v>
      </c>
      <c r="S80" s="991" t="s">
        <v>169</v>
      </c>
      <c r="T80" s="994" t="s">
        <v>365</v>
      </c>
      <c r="U80" s="1052">
        <v>1</v>
      </c>
      <c r="V80" s="1063" t="s">
        <v>346</v>
      </c>
      <c r="W80" s="1044"/>
      <c r="AE80" s="981">
        <v>73</v>
      </c>
    </row>
    <row r="81" spans="1:31" s="367" customFormat="1" x14ac:dyDescent="0.25">
      <c r="A81" s="96" t="s">
        <v>752</v>
      </c>
      <c r="B81" s="163" t="s">
        <v>692</v>
      </c>
      <c r="C81" s="917" t="s">
        <v>629</v>
      </c>
      <c r="D81" s="50">
        <f>Poeng!T189</f>
        <v>2</v>
      </c>
      <c r="E81" s="49"/>
      <c r="F81" s="52">
        <f>Poeng!AB189</f>
        <v>2</v>
      </c>
      <c r="H81" s="221">
        <f t="shared" si="5"/>
        <v>0</v>
      </c>
      <c r="I81" s="365" t="str">
        <f t="shared" si="7"/>
        <v>FEIL</v>
      </c>
      <c r="N81" s="369"/>
      <c r="Q81" s="981"/>
      <c r="R81" s="981"/>
      <c r="S81" s="991" t="s">
        <v>170</v>
      </c>
      <c r="T81" s="1026" t="s">
        <v>366</v>
      </c>
      <c r="U81" s="1054"/>
      <c r="V81" s="1054"/>
      <c r="W81" s="1044"/>
      <c r="AE81" s="981">
        <v>74</v>
      </c>
    </row>
    <row r="82" spans="1:31" ht="15.75" thickBot="1" x14ac:dyDescent="0.3">
      <c r="A82" s="96" t="s">
        <v>753</v>
      </c>
      <c r="B82" s="163" t="s">
        <v>695</v>
      </c>
      <c r="C82" s="917" t="s">
        <v>630</v>
      </c>
      <c r="D82" s="50">
        <f>Poeng!T192</f>
        <v>3</v>
      </c>
      <c r="E82" s="69"/>
      <c r="F82" s="52">
        <f>Poeng!AB192</f>
        <v>3</v>
      </c>
      <c r="G82" s="367"/>
      <c r="H82" s="221">
        <f t="shared" si="5"/>
        <v>0</v>
      </c>
      <c r="I82" s="365" t="str">
        <f t="shared" si="7"/>
        <v>FEIL</v>
      </c>
      <c r="J82" s="367"/>
      <c r="K82" s="367"/>
      <c r="N82" s="354" t="s">
        <v>382</v>
      </c>
      <c r="O82" s="348" t="b">
        <f t="shared" si="6"/>
        <v>0</v>
      </c>
      <c r="R82" s="981" t="s">
        <v>765</v>
      </c>
      <c r="S82" s="991"/>
      <c r="T82" s="989" t="s">
        <v>642</v>
      </c>
      <c r="U82" s="1052" t="s">
        <v>234</v>
      </c>
      <c r="V82" s="1063" t="s">
        <v>346</v>
      </c>
      <c r="W82" s="1044"/>
      <c r="AE82" s="981">
        <v>75</v>
      </c>
    </row>
    <row r="83" spans="1:31" ht="15.75" thickBot="1" x14ac:dyDescent="0.3">
      <c r="A83" s="137" t="s">
        <v>139</v>
      </c>
      <c r="B83" s="834" t="s">
        <v>139</v>
      </c>
      <c r="C83" s="832" t="s">
        <v>130</v>
      </c>
      <c r="D83" s="56">
        <f>Poeng!T197</f>
        <v>19</v>
      </c>
      <c r="E83" s="56"/>
      <c r="F83" s="56">
        <f>SUM(F75:F82)</f>
        <v>19</v>
      </c>
      <c r="H83" s="963">
        <f t="shared" si="5"/>
        <v>0</v>
      </c>
      <c r="I83" s="365" t="str">
        <f t="shared" si="7"/>
        <v>FEIL</v>
      </c>
      <c r="N83" s="354" t="s">
        <v>383</v>
      </c>
      <c r="O83" s="348" t="b">
        <f t="shared" si="6"/>
        <v>0</v>
      </c>
      <c r="R83" s="981" t="s">
        <v>766</v>
      </c>
      <c r="S83" s="991"/>
      <c r="T83" s="989" t="s">
        <v>643</v>
      </c>
      <c r="U83" s="1052" t="s">
        <v>234</v>
      </c>
      <c r="V83" s="1063" t="s">
        <v>346</v>
      </c>
      <c r="W83" s="1044"/>
      <c r="AE83" s="981">
        <v>76</v>
      </c>
    </row>
    <row r="84" spans="1:31" ht="15.75" thickBot="1" x14ac:dyDescent="0.3">
      <c r="A84" s="96" t="s">
        <v>754</v>
      </c>
      <c r="B84" s="163" t="s">
        <v>692</v>
      </c>
      <c r="C84" s="917" t="s">
        <v>891</v>
      </c>
      <c r="D84" s="30"/>
      <c r="E84" s="30"/>
      <c r="H84" s="221">
        <f t="shared" si="5"/>
        <v>1</v>
      </c>
      <c r="I84" s="365" t="str">
        <f t="shared" si="7"/>
        <v>FEIL</v>
      </c>
      <c r="N84" s="354" t="s">
        <v>384</v>
      </c>
      <c r="O84" s="348" t="b">
        <f t="shared" si="6"/>
        <v>0</v>
      </c>
      <c r="R84" s="981" t="s">
        <v>767</v>
      </c>
      <c r="S84" s="991"/>
      <c r="T84" s="989" t="s">
        <v>644</v>
      </c>
      <c r="U84" s="1052" t="s">
        <v>234</v>
      </c>
      <c r="V84" s="1063" t="s">
        <v>346</v>
      </c>
      <c r="W84" s="1044"/>
      <c r="AE84" s="981">
        <v>77</v>
      </c>
    </row>
    <row r="85" spans="1:31" ht="15.75" thickBot="1" x14ac:dyDescent="0.3">
      <c r="A85" s="96" t="s">
        <v>755</v>
      </c>
      <c r="B85" s="163" t="s">
        <v>695</v>
      </c>
      <c r="C85" s="1011" t="s">
        <v>915</v>
      </c>
      <c r="D85" s="53"/>
      <c r="E85" s="53"/>
      <c r="F85" s="53"/>
      <c r="H85" s="1035">
        <f>IF(SUMIF($R$7:$R$182,A85,$U$7:$U$182)=2,1,SUMIF($R$7:$R$182,A85,$U$7:$U$182))</f>
        <v>1</v>
      </c>
      <c r="I85" s="365" t="str">
        <f t="shared" si="7"/>
        <v>FEIL</v>
      </c>
      <c r="J85" t="s">
        <v>942</v>
      </c>
      <c r="N85" s="354" t="s">
        <v>386</v>
      </c>
      <c r="O85" s="348" t="b">
        <f t="shared" si="6"/>
        <v>0</v>
      </c>
      <c r="R85" s="981" t="s">
        <v>768</v>
      </c>
      <c r="S85" s="991" t="s">
        <v>171</v>
      </c>
      <c r="T85" s="994" t="s">
        <v>367</v>
      </c>
      <c r="U85" s="1052">
        <v>1</v>
      </c>
      <c r="V85" s="1063" t="s">
        <v>346</v>
      </c>
      <c r="W85" s="1044"/>
      <c r="AE85" s="981">
        <v>78</v>
      </c>
    </row>
    <row r="86" spans="1:31" x14ac:dyDescent="0.25">
      <c r="A86" s="96" t="s">
        <v>917</v>
      </c>
      <c r="B86" s="163" t="s">
        <v>696</v>
      </c>
      <c r="C86" s="1011" t="s">
        <v>916</v>
      </c>
      <c r="D86" s="50">
        <f>Poeng!T200</f>
        <v>3</v>
      </c>
      <c r="E86" s="49"/>
      <c r="F86" s="52">
        <f>Poeng!AB200</f>
        <v>3</v>
      </c>
      <c r="H86" s="1035">
        <f>IF(SUMIF($R$7:$R$182,A85,$U$7:$U$182)=2,1,0)</f>
        <v>1</v>
      </c>
      <c r="I86" s="365" t="str">
        <f t="shared" si="7"/>
        <v>FEIL</v>
      </c>
      <c r="J86" s="981" t="s">
        <v>942</v>
      </c>
      <c r="N86" s="350"/>
      <c r="O86" s="348" t="b">
        <f t="shared" si="6"/>
        <v>1</v>
      </c>
      <c r="R86" s="981"/>
      <c r="S86" s="987"/>
      <c r="T86" s="985"/>
      <c r="U86" s="1045"/>
      <c r="V86" s="1046"/>
      <c r="W86" s="1044"/>
      <c r="AE86" s="981">
        <v>79</v>
      </c>
    </row>
    <row r="87" spans="1:31" ht="15" customHeight="1" x14ac:dyDescent="0.25">
      <c r="A87" s="137" t="s">
        <v>140</v>
      </c>
      <c r="B87" s="834" t="s">
        <v>140</v>
      </c>
      <c r="C87" s="832" t="s">
        <v>131</v>
      </c>
      <c r="D87" s="50">
        <f>Poeng!T204</f>
        <v>2</v>
      </c>
      <c r="E87" s="49"/>
      <c r="F87" s="52">
        <f>Poeng!AB204</f>
        <v>2</v>
      </c>
      <c r="H87" s="963">
        <f t="shared" si="5"/>
        <v>0</v>
      </c>
      <c r="I87" s="365" t="str">
        <f t="shared" si="7"/>
        <v>FEIL</v>
      </c>
      <c r="N87" s="350"/>
      <c r="O87" s="348" t="b">
        <f t="shared" si="6"/>
        <v>0</v>
      </c>
      <c r="R87" s="981"/>
      <c r="S87" s="986" t="s">
        <v>368</v>
      </c>
      <c r="T87" s="985"/>
      <c r="U87" s="1045"/>
      <c r="V87" s="1046"/>
      <c r="W87" s="1044"/>
      <c r="AE87" s="981">
        <v>80</v>
      </c>
    </row>
    <row r="88" spans="1:31" x14ac:dyDescent="0.25">
      <c r="A88" s="96" t="s">
        <v>756</v>
      </c>
      <c r="B88" s="163" t="s">
        <v>692</v>
      </c>
      <c r="C88" s="917" t="s">
        <v>633</v>
      </c>
      <c r="D88" s="50">
        <f>Poeng!T207</f>
        <v>0</v>
      </c>
      <c r="E88" s="49"/>
      <c r="F88" s="52">
        <f>Poeng!AB207</f>
        <v>0</v>
      </c>
      <c r="H88" s="221">
        <f t="shared" si="5"/>
        <v>0</v>
      </c>
      <c r="I88" s="365" t="str">
        <f t="shared" si="7"/>
        <v>OK</v>
      </c>
      <c r="N88" s="352" t="s">
        <v>388</v>
      </c>
      <c r="O88" s="348" t="b">
        <f t="shared" si="6"/>
        <v>0</v>
      </c>
      <c r="R88" s="981"/>
      <c r="S88" s="991" t="s">
        <v>172</v>
      </c>
      <c r="T88" s="1026" t="s">
        <v>845</v>
      </c>
      <c r="U88" s="1054"/>
      <c r="V88" s="1028"/>
      <c r="W88" s="1044"/>
      <c r="AE88" s="981">
        <v>81</v>
      </c>
    </row>
    <row r="89" spans="1:31" x14ac:dyDescent="0.25">
      <c r="A89" s="96" t="s">
        <v>757</v>
      </c>
      <c r="B89" s="163" t="s">
        <v>695</v>
      </c>
      <c r="C89" s="917" t="s">
        <v>634</v>
      </c>
      <c r="D89" s="50">
        <f>Poeng!T208</f>
        <v>1</v>
      </c>
      <c r="E89" s="49"/>
      <c r="F89" s="52">
        <f>Poeng!AB208</f>
        <v>1</v>
      </c>
      <c r="H89" s="221">
        <f t="shared" si="5"/>
        <v>0</v>
      </c>
      <c r="I89" s="365" t="str">
        <f t="shared" si="7"/>
        <v>FEIL</v>
      </c>
      <c r="N89" s="354" t="s">
        <v>95</v>
      </c>
      <c r="O89" s="348" t="b">
        <f t="shared" si="6"/>
        <v>0</v>
      </c>
      <c r="R89" s="981" t="s">
        <v>770</v>
      </c>
      <c r="S89" s="991"/>
      <c r="T89" s="989" t="s">
        <v>646</v>
      </c>
      <c r="U89" s="1047">
        <v>3</v>
      </c>
      <c r="V89" s="1057" t="s">
        <v>346</v>
      </c>
      <c r="W89" s="1044"/>
      <c r="AE89" s="981">
        <v>82</v>
      </c>
    </row>
    <row r="90" spans="1:31" ht="15.75" thickBot="1" x14ac:dyDescent="0.3">
      <c r="A90" s="137" t="s">
        <v>141</v>
      </c>
      <c r="B90" s="834" t="s">
        <v>141</v>
      </c>
      <c r="C90" s="832" t="s">
        <v>132</v>
      </c>
      <c r="D90" s="50">
        <f>Poeng!T211</f>
        <v>1</v>
      </c>
      <c r="E90" s="49"/>
      <c r="F90" s="52">
        <f>Poeng!AB211</f>
        <v>1</v>
      </c>
      <c r="H90" s="963">
        <f t="shared" si="5"/>
        <v>0</v>
      </c>
      <c r="I90" s="365" t="str">
        <f t="shared" si="7"/>
        <v>FEIL</v>
      </c>
      <c r="N90" s="354" t="s">
        <v>117</v>
      </c>
      <c r="O90" s="348" t="b">
        <f t="shared" si="6"/>
        <v>0</v>
      </c>
      <c r="R90" s="981" t="s">
        <v>771</v>
      </c>
      <c r="S90" s="991"/>
      <c r="T90" s="989" t="s">
        <v>647</v>
      </c>
      <c r="U90" s="1047">
        <v>2</v>
      </c>
      <c r="V90" s="1057" t="s">
        <v>346</v>
      </c>
      <c r="W90" s="1044"/>
      <c r="AE90" s="981">
        <v>83</v>
      </c>
    </row>
    <row r="91" spans="1:31" ht="15.75" thickBot="1" x14ac:dyDescent="0.3">
      <c r="A91" s="96" t="s">
        <v>758</v>
      </c>
      <c r="B91" s="166" t="s">
        <v>692</v>
      </c>
      <c r="C91" s="917" t="s">
        <v>635</v>
      </c>
      <c r="D91" s="56">
        <f>Poeng!T214</f>
        <v>7</v>
      </c>
      <c r="E91" s="56"/>
      <c r="F91" s="56">
        <f>SUM(F86:F90)</f>
        <v>7</v>
      </c>
      <c r="H91" s="221">
        <f t="shared" si="5"/>
        <v>0</v>
      </c>
      <c r="I91" s="365" t="str">
        <f t="shared" si="7"/>
        <v>FEIL</v>
      </c>
      <c r="N91" s="354" t="s">
        <v>361</v>
      </c>
      <c r="O91" s="348" t="b">
        <f t="shared" si="6"/>
        <v>0</v>
      </c>
      <c r="R91" s="981"/>
      <c r="S91" s="991" t="s">
        <v>477</v>
      </c>
      <c r="T91" s="1026" t="s">
        <v>846</v>
      </c>
      <c r="U91" s="1054"/>
      <c r="V91" s="1028"/>
      <c r="W91" s="1044"/>
      <c r="AE91" s="981">
        <v>84</v>
      </c>
    </row>
    <row r="92" spans="1:31" ht="15.75" thickBot="1" x14ac:dyDescent="0.3">
      <c r="A92" s="96"/>
      <c r="B92" s="701" t="s">
        <v>142</v>
      </c>
      <c r="C92" s="700"/>
      <c r="D92" s="30"/>
      <c r="E92" s="30"/>
      <c r="H92" s="956">
        <f t="shared" si="5"/>
        <v>0</v>
      </c>
      <c r="I92" s="365" t="str">
        <f t="shared" si="7"/>
        <v>OK</v>
      </c>
      <c r="N92" s="354" t="s">
        <v>362</v>
      </c>
      <c r="O92" s="348" t="b">
        <f t="shared" si="6"/>
        <v>0</v>
      </c>
      <c r="R92" s="981" t="s">
        <v>773</v>
      </c>
      <c r="S92" s="991"/>
      <c r="T92" s="989" t="s">
        <v>649</v>
      </c>
      <c r="U92" s="1047">
        <v>1</v>
      </c>
      <c r="V92" s="1057" t="s">
        <v>346</v>
      </c>
      <c r="W92" s="1044"/>
      <c r="AE92" s="981">
        <v>85</v>
      </c>
    </row>
    <row r="93" spans="1:31" ht="15.75" thickBot="1" x14ac:dyDescent="0.3">
      <c r="A93" s="96"/>
      <c r="B93" s="701" t="s">
        <v>143</v>
      </c>
      <c r="C93" s="700"/>
      <c r="D93" s="53"/>
      <c r="E93" s="53"/>
      <c r="F93" s="53"/>
      <c r="H93" s="956">
        <f t="shared" si="5"/>
        <v>0</v>
      </c>
      <c r="I93" s="365" t="str">
        <f t="shared" si="7"/>
        <v>OK</v>
      </c>
      <c r="N93" s="369" t="s">
        <v>168</v>
      </c>
      <c r="O93" s="367" t="b">
        <f t="shared" si="6"/>
        <v>0</v>
      </c>
      <c r="R93" s="981" t="s">
        <v>774</v>
      </c>
      <c r="S93" s="991"/>
      <c r="T93" s="989" t="s">
        <v>650</v>
      </c>
      <c r="U93" s="1047">
        <v>2</v>
      </c>
      <c r="V93" s="1057" t="s">
        <v>346</v>
      </c>
      <c r="W93" s="1044"/>
      <c r="AE93" s="981">
        <v>86</v>
      </c>
    </row>
    <row r="94" spans="1:31" ht="15.75" thickBot="1" x14ac:dyDescent="0.3">
      <c r="A94" s="96" t="s">
        <v>883</v>
      </c>
      <c r="B94" s="201"/>
      <c r="C94" s="202" t="s">
        <v>213</v>
      </c>
      <c r="D94" s="52">
        <f>Poeng!T217</f>
        <v>1</v>
      </c>
      <c r="E94" s="51"/>
      <c r="F94" s="52">
        <f>Poeng!AB217</f>
        <v>1</v>
      </c>
      <c r="H94" s="226">
        <f t="shared" si="5"/>
        <v>0</v>
      </c>
      <c r="I94" s="365" t="str">
        <f t="shared" si="7"/>
        <v>FEIL</v>
      </c>
      <c r="N94" s="354" t="s">
        <v>172</v>
      </c>
      <c r="O94" s="367" t="b">
        <f t="shared" si="6"/>
        <v>0</v>
      </c>
      <c r="R94" s="981"/>
      <c r="S94" s="991" t="s">
        <v>173</v>
      </c>
      <c r="T94" s="1026" t="s">
        <v>847</v>
      </c>
      <c r="U94" s="1054"/>
      <c r="V94" s="1028"/>
      <c r="W94" s="1044"/>
      <c r="AE94" s="981">
        <v>87</v>
      </c>
    </row>
    <row r="95" spans="1:31" ht="15.75" thickBot="1" x14ac:dyDescent="0.3">
      <c r="A95" s="96"/>
      <c r="B95" s="96"/>
      <c r="C95" s="96"/>
      <c r="D95" s="50">
        <f>Poeng!T218</f>
        <v>1</v>
      </c>
      <c r="E95" s="49"/>
      <c r="F95" s="52">
        <f>Poeng!AB218</f>
        <v>1</v>
      </c>
      <c r="H95" s="96">
        <f t="shared" si="5"/>
        <v>0</v>
      </c>
      <c r="I95" s="365" t="str">
        <f t="shared" si="7"/>
        <v>FEIL</v>
      </c>
      <c r="N95" s="354" t="s">
        <v>173</v>
      </c>
      <c r="O95" s="367" t="b">
        <f t="shared" si="6"/>
        <v>0</v>
      </c>
      <c r="R95" s="981" t="s">
        <v>776</v>
      </c>
      <c r="S95" s="991"/>
      <c r="T95" s="989" t="s">
        <v>652</v>
      </c>
      <c r="U95" s="1047">
        <v>1</v>
      </c>
      <c r="V95" s="1057" t="s">
        <v>346</v>
      </c>
      <c r="W95" s="1044"/>
      <c r="AE95" s="981">
        <v>88</v>
      </c>
    </row>
    <row r="96" spans="1:31" ht="15.75" thickBot="1" x14ac:dyDescent="0.3">
      <c r="A96" s="96"/>
      <c r="B96" s="145"/>
      <c r="C96" s="146" t="s">
        <v>66</v>
      </c>
      <c r="D96" s="50">
        <f>Poeng!T219</f>
        <v>1</v>
      </c>
      <c r="E96" s="49"/>
      <c r="F96" s="52">
        <f>Poeng!AB219</f>
        <v>1</v>
      </c>
      <c r="H96" s="138">
        <f t="shared" si="5"/>
        <v>0</v>
      </c>
      <c r="I96" s="365" t="str">
        <f t="shared" si="7"/>
        <v>FEIL</v>
      </c>
      <c r="N96" s="354" t="s">
        <v>176</v>
      </c>
      <c r="O96" s="367" t="b">
        <f t="shared" si="6"/>
        <v>0</v>
      </c>
      <c r="R96" s="981" t="s">
        <v>777</v>
      </c>
      <c r="S96" s="991"/>
      <c r="T96" s="989" t="s">
        <v>653</v>
      </c>
      <c r="U96" s="1047">
        <v>2</v>
      </c>
      <c r="V96" s="1057" t="s">
        <v>346</v>
      </c>
      <c r="W96" s="1044"/>
      <c r="AE96" s="981">
        <v>89</v>
      </c>
    </row>
    <row r="97" spans="1:31" x14ac:dyDescent="0.25">
      <c r="A97" s="137" t="s">
        <v>146</v>
      </c>
      <c r="B97" s="833" t="s">
        <v>146</v>
      </c>
      <c r="C97" s="831" t="s">
        <v>460</v>
      </c>
      <c r="D97" s="50">
        <f>Poeng!T220</f>
        <v>1</v>
      </c>
      <c r="E97" s="49"/>
      <c r="F97" s="52">
        <f>Poeng!AB220</f>
        <v>1</v>
      </c>
      <c r="H97" s="150">
        <f t="shared" si="5"/>
        <v>0</v>
      </c>
      <c r="I97" s="365" t="str">
        <f t="shared" si="7"/>
        <v>FEIL</v>
      </c>
      <c r="N97" t="s">
        <v>177</v>
      </c>
      <c r="O97" s="367" t="b">
        <f t="shared" si="6"/>
        <v>0</v>
      </c>
      <c r="R97" s="981"/>
      <c r="S97" s="991" t="s">
        <v>174</v>
      </c>
      <c r="T97" s="1026" t="s">
        <v>369</v>
      </c>
      <c r="U97" s="1054"/>
      <c r="V97" s="1028"/>
      <c r="W97" s="1044"/>
      <c r="AE97" s="981">
        <v>90</v>
      </c>
    </row>
    <row r="98" spans="1:31" x14ac:dyDescent="0.25">
      <c r="A98" s="96" t="s">
        <v>759</v>
      </c>
      <c r="B98" s="163" t="s">
        <v>692</v>
      </c>
      <c r="C98" s="917" t="s">
        <v>636</v>
      </c>
      <c r="D98" s="50">
        <f>Poeng!T221</f>
        <v>2</v>
      </c>
      <c r="E98" s="49"/>
      <c r="F98" s="52">
        <f>Poeng!AB221</f>
        <v>2</v>
      </c>
      <c r="H98" s="221">
        <f t="shared" si="5"/>
        <v>2</v>
      </c>
      <c r="I98" s="365" t="str">
        <f t="shared" si="7"/>
        <v>OK</v>
      </c>
      <c r="O98" s="348"/>
      <c r="R98" s="981" t="s">
        <v>779</v>
      </c>
      <c r="S98" s="993"/>
      <c r="T98" s="989" t="s">
        <v>655</v>
      </c>
      <c r="U98" s="1047">
        <v>1</v>
      </c>
      <c r="V98" s="1057" t="s">
        <v>346</v>
      </c>
      <c r="W98" s="1044"/>
      <c r="AE98" s="981">
        <v>91</v>
      </c>
    </row>
    <row r="99" spans="1:31" x14ac:dyDescent="0.25">
      <c r="A99" s="96" t="s">
        <v>760</v>
      </c>
      <c r="B99" s="163" t="s">
        <v>695</v>
      </c>
      <c r="C99" s="917" t="s">
        <v>637</v>
      </c>
      <c r="D99" s="50">
        <f>Poeng!T222</f>
        <v>1</v>
      </c>
      <c r="E99" s="49"/>
      <c r="F99" s="52">
        <f>Poeng!AB222</f>
        <v>1</v>
      </c>
      <c r="H99" s="221">
        <f t="shared" si="5"/>
        <v>1</v>
      </c>
      <c r="I99" s="365" t="str">
        <f t="shared" si="7"/>
        <v>OK</v>
      </c>
      <c r="O99" s="348"/>
      <c r="R99" s="981" t="s">
        <v>780</v>
      </c>
      <c r="S99" s="993"/>
      <c r="T99" s="989" t="s">
        <v>656</v>
      </c>
      <c r="U99" s="1047">
        <v>1</v>
      </c>
      <c r="V99" s="1057" t="s">
        <v>346</v>
      </c>
      <c r="W99" s="1044"/>
      <c r="AE99" s="981">
        <v>92</v>
      </c>
    </row>
    <row r="100" spans="1:31" x14ac:dyDescent="0.25">
      <c r="A100" s="137" t="s">
        <v>147</v>
      </c>
      <c r="B100" s="834" t="s">
        <v>147</v>
      </c>
      <c r="C100" s="832" t="s">
        <v>461</v>
      </c>
      <c r="D100" s="50">
        <f>Poeng!T223</f>
        <v>1</v>
      </c>
      <c r="E100" s="49"/>
      <c r="F100" s="52">
        <f>Poeng!AB223</f>
        <v>1</v>
      </c>
      <c r="H100" s="963">
        <f t="shared" si="5"/>
        <v>0</v>
      </c>
      <c r="I100" s="365" t="str">
        <f t="shared" si="7"/>
        <v>FEIL</v>
      </c>
      <c r="O100" s="348"/>
      <c r="R100" s="981" t="s">
        <v>781</v>
      </c>
      <c r="S100" s="993"/>
      <c r="T100" s="989" t="s">
        <v>657</v>
      </c>
      <c r="U100" s="1047">
        <v>2</v>
      </c>
      <c r="V100" s="1057" t="s">
        <v>346</v>
      </c>
      <c r="W100" s="1044"/>
      <c r="AE100" s="981">
        <v>93</v>
      </c>
    </row>
    <row r="101" spans="1:31" s="30" customFormat="1" x14ac:dyDescent="0.25">
      <c r="A101" s="96"/>
      <c r="B101" s="163" t="s">
        <v>692</v>
      </c>
      <c r="C101" s="917" t="s">
        <v>638</v>
      </c>
      <c r="D101" s="50">
        <f>Poeng!T224</f>
        <v>1</v>
      </c>
      <c r="E101" s="49"/>
      <c r="F101" s="52">
        <f>Poeng!AB224</f>
        <v>1</v>
      </c>
      <c r="G101"/>
      <c r="H101" s="221">
        <f t="shared" si="5"/>
        <v>0</v>
      </c>
      <c r="I101" s="365" t="str">
        <f t="shared" si="7"/>
        <v>FEIL</v>
      </c>
      <c r="J101"/>
      <c r="K101"/>
      <c r="Q101" s="981"/>
      <c r="R101" s="981"/>
      <c r="S101" s="991" t="s">
        <v>175</v>
      </c>
      <c r="T101" s="1026" t="s">
        <v>659</v>
      </c>
      <c r="U101" s="1054"/>
      <c r="V101" s="1028"/>
      <c r="W101" s="1044"/>
      <c r="AE101" s="981">
        <v>94</v>
      </c>
    </row>
    <row r="102" spans="1:31" s="367" customFormat="1" x14ac:dyDescent="0.25">
      <c r="A102" s="96" t="s">
        <v>762</v>
      </c>
      <c r="B102" s="163" t="s">
        <v>695</v>
      </c>
      <c r="C102" s="917" t="s">
        <v>639</v>
      </c>
      <c r="D102" s="50">
        <f>Poeng!T225</f>
        <v>1</v>
      </c>
      <c r="E102" s="49"/>
      <c r="F102" s="52">
        <f>D102-E102</f>
        <v>1</v>
      </c>
      <c r="G102" s="30"/>
      <c r="H102" s="221">
        <f t="shared" si="5"/>
        <v>10</v>
      </c>
      <c r="I102" s="365" t="str">
        <f t="shared" si="7"/>
        <v>FEIL</v>
      </c>
      <c r="J102" s="30"/>
      <c r="K102" s="30"/>
      <c r="Q102" s="981"/>
      <c r="R102" s="981" t="s">
        <v>782</v>
      </c>
      <c r="S102" s="993"/>
      <c r="T102" s="989" t="s">
        <v>658</v>
      </c>
      <c r="U102" s="1047">
        <v>1</v>
      </c>
      <c r="V102" s="1057" t="s">
        <v>346</v>
      </c>
      <c r="W102" s="1044"/>
      <c r="AE102" s="981">
        <v>95</v>
      </c>
    </row>
    <row r="103" spans="1:31" s="367" customFormat="1" x14ac:dyDescent="0.25">
      <c r="A103" s="96"/>
      <c r="B103" s="701" t="s">
        <v>148</v>
      </c>
      <c r="C103" s="700"/>
      <c r="D103" s="50">
        <f>Poeng!T226</f>
        <v>1</v>
      </c>
      <c r="E103" s="49"/>
      <c r="F103" s="52">
        <f t="shared" ref="F103:F106" si="8">D103-E103</f>
        <v>1</v>
      </c>
      <c r="H103" s="956">
        <f t="shared" si="5"/>
        <v>0</v>
      </c>
      <c r="I103" s="365"/>
      <c r="Q103" s="981"/>
      <c r="R103" s="981" t="s">
        <v>783</v>
      </c>
      <c r="S103" s="993"/>
      <c r="T103" s="989" t="s">
        <v>659</v>
      </c>
      <c r="U103" s="1047">
        <v>1</v>
      </c>
      <c r="V103" s="1057" t="s">
        <v>346</v>
      </c>
      <c r="W103" s="1044"/>
      <c r="AE103" s="981">
        <v>96</v>
      </c>
    </row>
    <row r="104" spans="1:31" s="367" customFormat="1" x14ac:dyDescent="0.25">
      <c r="A104" s="96"/>
      <c r="B104" s="701" t="s">
        <v>149</v>
      </c>
      <c r="C104" s="700"/>
      <c r="D104" s="50">
        <f>Poeng!T227</f>
        <v>1</v>
      </c>
      <c r="E104" s="49"/>
      <c r="F104" s="52">
        <f t="shared" si="8"/>
        <v>1</v>
      </c>
      <c r="H104" s="956">
        <f t="shared" si="5"/>
        <v>0</v>
      </c>
      <c r="I104" s="365"/>
      <c r="Q104" s="981"/>
      <c r="R104" s="981" t="s">
        <v>784</v>
      </c>
      <c r="S104" s="993"/>
      <c r="T104" s="989" t="s">
        <v>660</v>
      </c>
      <c r="U104" s="1047">
        <v>1</v>
      </c>
      <c r="V104" s="1057" t="s">
        <v>346</v>
      </c>
      <c r="W104" s="1044"/>
      <c r="AE104" s="981">
        <v>97</v>
      </c>
    </row>
    <row r="105" spans="1:31" s="367" customFormat="1" x14ac:dyDescent="0.25">
      <c r="A105" s="96"/>
      <c r="B105" s="701" t="s">
        <v>150</v>
      </c>
      <c r="C105" s="700"/>
      <c r="D105" s="50">
        <f>Poeng!T228</f>
        <v>1</v>
      </c>
      <c r="E105" s="49"/>
      <c r="F105" s="52">
        <f t="shared" si="8"/>
        <v>1</v>
      </c>
      <c r="H105" s="956">
        <f t="shared" si="5"/>
        <v>0</v>
      </c>
      <c r="I105" s="365"/>
      <c r="Q105" s="981"/>
      <c r="R105" s="981"/>
      <c r="S105" s="991" t="s">
        <v>478</v>
      </c>
      <c r="T105" s="1026" t="s">
        <v>848</v>
      </c>
      <c r="U105" s="1054"/>
      <c r="V105" s="1028"/>
      <c r="W105" s="1044"/>
      <c r="AE105" s="981">
        <v>98</v>
      </c>
    </row>
    <row r="106" spans="1:31" ht="15.75" thickBot="1" x14ac:dyDescent="0.3">
      <c r="A106" s="96"/>
      <c r="B106" s="705" t="s">
        <v>313</v>
      </c>
      <c r="C106" s="706"/>
      <c r="D106" s="50">
        <f>Poeng!T229</f>
        <v>1</v>
      </c>
      <c r="E106" s="49"/>
      <c r="F106" s="52">
        <f t="shared" si="8"/>
        <v>1</v>
      </c>
      <c r="G106" s="367"/>
      <c r="H106" s="956">
        <f t="shared" si="5"/>
        <v>0</v>
      </c>
      <c r="I106" s="365"/>
      <c r="J106" s="367"/>
      <c r="K106" s="367"/>
      <c r="R106" s="981" t="s">
        <v>785</v>
      </c>
      <c r="S106" s="993"/>
      <c r="T106" s="989" t="s">
        <v>661</v>
      </c>
      <c r="U106" s="1047">
        <v>1</v>
      </c>
      <c r="V106" s="1057" t="s">
        <v>346</v>
      </c>
      <c r="W106" s="1044"/>
      <c r="AE106" s="981">
        <v>99</v>
      </c>
    </row>
    <row r="107" spans="1:31" ht="15.75" thickBot="1" x14ac:dyDescent="0.3">
      <c r="A107" s="96" t="s">
        <v>884</v>
      </c>
      <c r="B107" s="201"/>
      <c r="C107" s="202" t="s">
        <v>213</v>
      </c>
      <c r="D107" s="56">
        <f>Poeng!T231</f>
        <v>10</v>
      </c>
      <c r="E107" s="56"/>
      <c r="F107" s="56">
        <f>IF(SUM(F94:F106)&gt;10,10,SUM(F94:F106))</f>
        <v>10</v>
      </c>
      <c r="H107" s="226">
        <f t="shared" si="5"/>
        <v>0</v>
      </c>
      <c r="I107" s="365" t="str">
        <f t="shared" si="7"/>
        <v>FEIL</v>
      </c>
      <c r="R107" s="981" t="s">
        <v>786</v>
      </c>
      <c r="S107" s="993"/>
      <c r="T107" s="989" t="s">
        <v>662</v>
      </c>
      <c r="U107" s="1047">
        <v>1</v>
      </c>
      <c r="V107" s="1057" t="s">
        <v>346</v>
      </c>
      <c r="W107" s="1044"/>
      <c r="AE107" s="981">
        <v>100</v>
      </c>
    </row>
    <row r="108" spans="1:31" ht="15.75" thickBot="1" x14ac:dyDescent="0.3">
      <c r="A108" s="96"/>
      <c r="B108" s="96"/>
      <c r="C108" s="96"/>
      <c r="H108" s="96">
        <f t="shared" si="5"/>
        <v>0</v>
      </c>
      <c r="R108" s="981" t="s">
        <v>787</v>
      </c>
      <c r="S108" s="993"/>
      <c r="T108" s="989" t="s">
        <v>849</v>
      </c>
      <c r="U108" s="1047">
        <v>1</v>
      </c>
      <c r="V108" s="1057" t="s">
        <v>346</v>
      </c>
      <c r="W108" s="1044"/>
      <c r="AE108" s="981">
        <v>101</v>
      </c>
    </row>
    <row r="109" spans="1:31" ht="15.75" thickBot="1" x14ac:dyDescent="0.3">
      <c r="A109" s="96"/>
      <c r="B109" s="145"/>
      <c r="C109" s="146" t="s">
        <v>58</v>
      </c>
      <c r="H109" s="138">
        <f t="shared" si="5"/>
        <v>0</v>
      </c>
      <c r="R109" s="981"/>
      <c r="S109" s="986" t="s">
        <v>370</v>
      </c>
      <c r="T109" s="985"/>
      <c r="U109" s="1045"/>
      <c r="V109" s="1046"/>
      <c r="W109" s="1044"/>
      <c r="AE109" s="981">
        <v>102</v>
      </c>
    </row>
    <row r="110" spans="1:31" ht="15" customHeight="1" x14ac:dyDescent="0.25">
      <c r="A110" s="137" t="s">
        <v>168</v>
      </c>
      <c r="B110" s="833" t="s">
        <v>168</v>
      </c>
      <c r="C110" s="831" t="s">
        <v>151</v>
      </c>
      <c r="H110" s="961">
        <f t="shared" si="5"/>
        <v>0</v>
      </c>
      <c r="R110" s="981"/>
      <c r="S110" s="996" t="s">
        <v>176</v>
      </c>
      <c r="T110" s="999" t="s">
        <v>371</v>
      </c>
      <c r="U110" s="1056"/>
      <c r="V110" s="1064"/>
      <c r="W110" s="1044"/>
      <c r="AE110" s="981">
        <v>103</v>
      </c>
    </row>
    <row r="111" spans="1:31" ht="15" customHeight="1" x14ac:dyDescent="0.25">
      <c r="A111" s="96" t="s">
        <v>763</v>
      </c>
      <c r="B111" s="163" t="s">
        <v>692</v>
      </c>
      <c r="C111" s="917" t="s">
        <v>640</v>
      </c>
      <c r="H111" s="221">
        <f t="shared" si="5"/>
        <v>5</v>
      </c>
      <c r="R111" s="981" t="s">
        <v>788</v>
      </c>
      <c r="S111" s="991"/>
      <c r="T111" s="989" t="s">
        <v>664</v>
      </c>
      <c r="U111" s="1047">
        <v>1</v>
      </c>
      <c r="V111" s="1057" t="s">
        <v>346</v>
      </c>
      <c r="W111" s="1044"/>
      <c r="AE111" s="981">
        <v>104</v>
      </c>
    </row>
    <row r="112" spans="1:31" ht="15" customHeight="1" x14ac:dyDescent="0.25">
      <c r="A112" s="137" t="s">
        <v>169</v>
      </c>
      <c r="B112" s="834" t="s">
        <v>169</v>
      </c>
      <c r="C112" s="832" t="s">
        <v>152</v>
      </c>
      <c r="H112" s="963">
        <f t="shared" si="5"/>
        <v>0</v>
      </c>
      <c r="R112" s="981" t="s">
        <v>789</v>
      </c>
      <c r="S112" s="991"/>
      <c r="T112" s="989" t="s">
        <v>665</v>
      </c>
      <c r="U112" s="1047">
        <v>2</v>
      </c>
      <c r="V112" s="1057" t="s">
        <v>346</v>
      </c>
      <c r="W112" s="1044"/>
      <c r="AE112" s="981">
        <v>105</v>
      </c>
    </row>
    <row r="113" spans="1:31" ht="15" customHeight="1" x14ac:dyDescent="0.25">
      <c r="A113" s="96" t="s">
        <v>764</v>
      </c>
      <c r="B113" s="166" t="s">
        <v>692</v>
      </c>
      <c r="C113" s="917" t="s">
        <v>641</v>
      </c>
      <c r="H113" s="221">
        <f t="shared" si="5"/>
        <v>1</v>
      </c>
      <c r="R113" s="981" t="s">
        <v>790</v>
      </c>
      <c r="S113" s="991"/>
      <c r="T113" s="989" t="s">
        <v>666</v>
      </c>
      <c r="U113" s="1047">
        <v>2</v>
      </c>
      <c r="V113" s="1057" t="s">
        <v>346</v>
      </c>
      <c r="W113" s="1044"/>
      <c r="AE113" s="981">
        <v>106</v>
      </c>
    </row>
    <row r="114" spans="1:31" ht="15" customHeight="1" x14ac:dyDescent="0.25">
      <c r="A114" s="137" t="s">
        <v>170</v>
      </c>
      <c r="B114" s="834" t="s">
        <v>170</v>
      </c>
      <c r="C114" s="832" t="s">
        <v>153</v>
      </c>
      <c r="H114" s="963">
        <f t="shared" si="5"/>
        <v>0</v>
      </c>
      <c r="R114" s="981" t="s">
        <v>791</v>
      </c>
      <c r="S114" s="996" t="s">
        <v>372</v>
      </c>
      <c r="T114" s="994" t="s">
        <v>373</v>
      </c>
      <c r="U114" s="1047">
        <v>1</v>
      </c>
      <c r="V114" s="1057" t="s">
        <v>346</v>
      </c>
      <c r="W114" s="1044"/>
      <c r="AE114" s="981">
        <v>107</v>
      </c>
    </row>
    <row r="115" spans="1:31" ht="15" customHeight="1" x14ac:dyDescent="0.25">
      <c r="A115" s="96" t="s">
        <v>765</v>
      </c>
      <c r="B115" s="163" t="s">
        <v>692</v>
      </c>
      <c r="C115" s="917" t="s">
        <v>642</v>
      </c>
      <c r="H115" s="221">
        <f t="shared" si="5"/>
        <v>0</v>
      </c>
      <c r="R115" s="981" t="s">
        <v>792</v>
      </c>
      <c r="S115" s="996" t="s">
        <v>374</v>
      </c>
      <c r="T115" s="994" t="s">
        <v>373</v>
      </c>
      <c r="U115" s="1047" t="s">
        <v>234</v>
      </c>
      <c r="V115" s="1057" t="s">
        <v>346</v>
      </c>
      <c r="W115" s="1044"/>
      <c r="AE115" s="981">
        <v>108</v>
      </c>
    </row>
    <row r="116" spans="1:31" ht="15.75" customHeight="1" x14ac:dyDescent="0.25">
      <c r="A116" s="96" t="s">
        <v>766</v>
      </c>
      <c r="B116" s="163" t="s">
        <v>695</v>
      </c>
      <c r="C116" s="917" t="s">
        <v>918</v>
      </c>
      <c r="H116" s="221">
        <f t="shared" si="5"/>
        <v>0</v>
      </c>
      <c r="R116" s="981" t="s">
        <v>793</v>
      </c>
      <c r="S116" s="996" t="s">
        <v>178</v>
      </c>
      <c r="T116" s="994" t="s">
        <v>375</v>
      </c>
      <c r="U116" s="1047" t="s">
        <v>234</v>
      </c>
      <c r="V116" s="1057" t="s">
        <v>346</v>
      </c>
      <c r="W116" s="1044"/>
      <c r="AE116" s="981">
        <v>109</v>
      </c>
    </row>
    <row r="117" spans="1:31" ht="15" customHeight="1" x14ac:dyDescent="0.25">
      <c r="A117" s="96" t="s">
        <v>767</v>
      </c>
      <c r="B117" s="166" t="s">
        <v>696</v>
      </c>
      <c r="C117" s="917" t="s">
        <v>644</v>
      </c>
      <c r="H117" s="221">
        <f t="shared" si="5"/>
        <v>0</v>
      </c>
      <c r="R117" s="981"/>
      <c r="S117" s="987"/>
      <c r="T117" s="985"/>
      <c r="U117" s="1045"/>
      <c r="V117" s="1046"/>
      <c r="W117" s="1044"/>
      <c r="AE117" s="981">
        <v>110</v>
      </c>
    </row>
    <row r="118" spans="1:31" ht="15" customHeight="1" x14ac:dyDescent="0.25">
      <c r="A118" s="137" t="s">
        <v>171</v>
      </c>
      <c r="B118" s="834" t="s">
        <v>171</v>
      </c>
      <c r="C118" s="832" t="s">
        <v>154</v>
      </c>
      <c r="H118" s="963">
        <f t="shared" si="5"/>
        <v>0</v>
      </c>
      <c r="R118" s="981"/>
      <c r="S118" s="986" t="s">
        <v>376</v>
      </c>
      <c r="T118" s="985"/>
      <c r="U118" s="1045"/>
      <c r="V118" s="1046"/>
      <c r="W118" s="1044"/>
      <c r="AE118" s="981">
        <v>111</v>
      </c>
    </row>
    <row r="119" spans="1:31" ht="15" customHeight="1" thickBot="1" x14ac:dyDescent="0.3">
      <c r="A119" s="96" t="s">
        <v>768</v>
      </c>
      <c r="B119" s="231" t="s">
        <v>692</v>
      </c>
      <c r="C119" s="917" t="s">
        <v>367</v>
      </c>
      <c r="H119" s="221">
        <f t="shared" si="5"/>
        <v>1</v>
      </c>
      <c r="R119" s="981" t="s">
        <v>796</v>
      </c>
      <c r="S119" s="996" t="s">
        <v>179</v>
      </c>
      <c r="T119" s="994" t="s">
        <v>377</v>
      </c>
      <c r="U119" s="1047">
        <v>2</v>
      </c>
      <c r="V119" s="1057" t="s">
        <v>346</v>
      </c>
      <c r="W119" s="1044"/>
      <c r="AE119" s="981">
        <v>112</v>
      </c>
    </row>
    <row r="120" spans="1:31" ht="15" customHeight="1" thickBot="1" x14ac:dyDescent="0.3">
      <c r="A120" s="96" t="s">
        <v>885</v>
      </c>
      <c r="B120" s="201"/>
      <c r="C120" s="202" t="s">
        <v>213</v>
      </c>
      <c r="H120" s="226">
        <f t="shared" si="5"/>
        <v>0</v>
      </c>
      <c r="R120" s="981"/>
      <c r="S120" s="996" t="s">
        <v>180</v>
      </c>
      <c r="T120" s="1026" t="s">
        <v>850</v>
      </c>
      <c r="U120" s="1054"/>
      <c r="V120" s="1028"/>
      <c r="W120" s="1044"/>
      <c r="AE120" s="981">
        <v>113</v>
      </c>
    </row>
    <row r="121" spans="1:31" ht="15.75" thickBot="1" x14ac:dyDescent="0.3">
      <c r="A121" s="96"/>
      <c r="B121" s="96"/>
      <c r="C121" s="96"/>
      <c r="H121" s="96">
        <f t="shared" si="5"/>
        <v>0</v>
      </c>
      <c r="R121" s="981" t="s">
        <v>798</v>
      </c>
      <c r="S121" s="991"/>
      <c r="T121" s="989" t="s">
        <v>672</v>
      </c>
      <c r="U121" s="1047">
        <v>1</v>
      </c>
      <c r="V121" s="1057" t="s">
        <v>346</v>
      </c>
      <c r="W121" s="1044"/>
      <c r="AE121" s="981">
        <v>114</v>
      </c>
    </row>
    <row r="122" spans="1:31" ht="15.75" thickBot="1" x14ac:dyDescent="0.3">
      <c r="A122" s="96"/>
      <c r="B122" s="151"/>
      <c r="C122" s="152" t="s">
        <v>67</v>
      </c>
      <c r="H122" s="138">
        <f t="shared" si="5"/>
        <v>0</v>
      </c>
      <c r="R122" s="981" t="s">
        <v>799</v>
      </c>
      <c r="S122" s="991"/>
      <c r="T122" s="989" t="s">
        <v>673</v>
      </c>
      <c r="U122" s="1047">
        <v>1</v>
      </c>
      <c r="V122" s="1057" t="s">
        <v>346</v>
      </c>
      <c r="W122" s="1044"/>
      <c r="AE122" s="981">
        <v>115</v>
      </c>
    </row>
    <row r="123" spans="1:31" x14ac:dyDescent="0.25">
      <c r="A123" s="137" t="s">
        <v>172</v>
      </c>
      <c r="B123" s="858" t="s">
        <v>172</v>
      </c>
      <c r="C123" s="859" t="s">
        <v>462</v>
      </c>
      <c r="H123" s="961">
        <f t="shared" si="5"/>
        <v>0</v>
      </c>
      <c r="R123" s="981"/>
      <c r="S123" s="996" t="s">
        <v>851</v>
      </c>
      <c r="T123" s="999" t="s">
        <v>852</v>
      </c>
      <c r="U123" s="1056"/>
      <c r="V123" s="1064"/>
      <c r="W123" s="1044"/>
      <c r="AE123" s="981">
        <v>116</v>
      </c>
    </row>
    <row r="124" spans="1:31" x14ac:dyDescent="0.25">
      <c r="A124" s="137"/>
      <c r="B124" s="166" t="s">
        <v>692</v>
      </c>
      <c r="C124" s="940" t="s">
        <v>645</v>
      </c>
      <c r="H124" s="221">
        <f t="shared" si="5"/>
        <v>0</v>
      </c>
      <c r="R124" s="981" t="s">
        <v>801</v>
      </c>
      <c r="S124" s="991"/>
      <c r="T124" s="989" t="s">
        <v>675</v>
      </c>
      <c r="U124" s="1047" t="s">
        <v>234</v>
      </c>
      <c r="V124" s="1057" t="s">
        <v>346</v>
      </c>
      <c r="W124" s="1044"/>
      <c r="AE124" s="981">
        <v>117</v>
      </c>
    </row>
    <row r="125" spans="1:31" x14ac:dyDescent="0.25">
      <c r="A125" s="96" t="s">
        <v>770</v>
      </c>
      <c r="B125" s="166" t="s">
        <v>695</v>
      </c>
      <c r="C125" s="917" t="s">
        <v>646</v>
      </c>
      <c r="H125" s="221">
        <f t="shared" si="5"/>
        <v>3</v>
      </c>
      <c r="R125" s="981" t="s">
        <v>802</v>
      </c>
      <c r="S125" s="991"/>
      <c r="T125" s="989" t="s">
        <v>676</v>
      </c>
      <c r="U125" s="1047" t="s">
        <v>234</v>
      </c>
      <c r="V125" s="1057" t="s">
        <v>346</v>
      </c>
      <c r="W125" s="1044"/>
      <c r="AE125" s="981">
        <v>118</v>
      </c>
    </row>
    <row r="126" spans="1:31" x14ac:dyDescent="0.25">
      <c r="A126" s="96" t="s">
        <v>771</v>
      </c>
      <c r="B126" s="188" t="s">
        <v>696</v>
      </c>
      <c r="C126" s="917" t="s">
        <v>647</v>
      </c>
      <c r="H126" s="221">
        <f t="shared" si="5"/>
        <v>2</v>
      </c>
      <c r="R126" s="981"/>
      <c r="S126" s="996" t="s">
        <v>181</v>
      </c>
      <c r="T126" s="1026" t="s">
        <v>853</v>
      </c>
      <c r="U126" s="1054"/>
      <c r="V126" s="1028"/>
      <c r="W126" s="1044"/>
      <c r="AE126" s="981">
        <v>119</v>
      </c>
    </row>
    <row r="127" spans="1:31" x14ac:dyDescent="0.25">
      <c r="A127" s="137" t="s">
        <v>477</v>
      </c>
      <c r="B127" s="946" t="s">
        <v>477</v>
      </c>
      <c r="C127" s="832" t="s">
        <v>463</v>
      </c>
      <c r="H127" s="963">
        <f t="shared" si="5"/>
        <v>0</v>
      </c>
      <c r="R127" s="981" t="s">
        <v>804</v>
      </c>
      <c r="S127" s="991"/>
      <c r="T127" s="989" t="s">
        <v>678</v>
      </c>
      <c r="U127" s="1047">
        <v>1</v>
      </c>
      <c r="V127" s="1057" t="s">
        <v>346</v>
      </c>
      <c r="W127" s="1044"/>
      <c r="AE127" s="981">
        <v>120</v>
      </c>
    </row>
    <row r="128" spans="1:31" x14ac:dyDescent="0.25">
      <c r="A128" s="137"/>
      <c r="B128" s="188" t="s">
        <v>692</v>
      </c>
      <c r="C128" s="940" t="s">
        <v>648</v>
      </c>
      <c r="H128" s="221">
        <f t="shared" si="5"/>
        <v>0</v>
      </c>
      <c r="R128" s="981" t="s">
        <v>805</v>
      </c>
      <c r="S128" s="991"/>
      <c r="T128" s="989" t="s">
        <v>679</v>
      </c>
      <c r="U128" s="1047">
        <v>3</v>
      </c>
      <c r="V128" s="1057" t="s">
        <v>346</v>
      </c>
      <c r="W128" s="1044"/>
      <c r="AE128" s="981">
        <v>121</v>
      </c>
    </row>
    <row r="129" spans="1:31" x14ac:dyDescent="0.25">
      <c r="A129" s="96" t="s">
        <v>773</v>
      </c>
      <c r="B129" s="188" t="s">
        <v>695</v>
      </c>
      <c r="C129" s="917" t="s">
        <v>649</v>
      </c>
      <c r="H129" s="221">
        <f t="shared" si="5"/>
        <v>1</v>
      </c>
      <c r="R129" s="981"/>
      <c r="S129" s="996" t="s">
        <v>182</v>
      </c>
      <c r="T129" s="1026" t="s">
        <v>378</v>
      </c>
      <c r="U129" s="1054"/>
      <c r="V129" s="1028"/>
      <c r="W129" s="1044"/>
      <c r="AE129" s="981">
        <v>122</v>
      </c>
    </row>
    <row r="130" spans="1:31" x14ac:dyDescent="0.25">
      <c r="A130" s="96" t="s">
        <v>774</v>
      </c>
      <c r="B130" s="188" t="s">
        <v>696</v>
      </c>
      <c r="C130" s="917" t="s">
        <v>650</v>
      </c>
      <c r="H130" s="221">
        <f t="shared" si="5"/>
        <v>2</v>
      </c>
      <c r="R130" s="981" t="s">
        <v>807</v>
      </c>
      <c r="S130" s="991"/>
      <c r="T130" s="989" t="s">
        <v>681</v>
      </c>
      <c r="U130" s="1047">
        <v>1</v>
      </c>
      <c r="V130" s="1057" t="s">
        <v>346</v>
      </c>
      <c r="W130" s="1044"/>
      <c r="AE130" s="981">
        <v>123</v>
      </c>
    </row>
    <row r="131" spans="1:31" x14ac:dyDescent="0.25">
      <c r="A131" s="137" t="s">
        <v>173</v>
      </c>
      <c r="B131" s="946" t="s">
        <v>173</v>
      </c>
      <c r="C131" s="832" t="s">
        <v>464</v>
      </c>
      <c r="H131" s="963">
        <f t="shared" si="5"/>
        <v>0</v>
      </c>
      <c r="R131" s="981" t="s">
        <v>808</v>
      </c>
      <c r="S131" s="991"/>
      <c r="T131" s="989" t="s">
        <v>682</v>
      </c>
      <c r="U131" s="1047">
        <v>1</v>
      </c>
      <c r="V131" s="1057" t="s">
        <v>346</v>
      </c>
      <c r="W131" s="1044"/>
      <c r="AE131" s="981">
        <v>124</v>
      </c>
    </row>
    <row r="132" spans="1:31" x14ac:dyDescent="0.25">
      <c r="A132" s="96"/>
      <c r="B132" s="188" t="s">
        <v>692</v>
      </c>
      <c r="C132" s="945" t="s">
        <v>651</v>
      </c>
      <c r="H132" s="221">
        <f t="shared" si="5"/>
        <v>0</v>
      </c>
      <c r="R132" s="981" t="s">
        <v>809</v>
      </c>
      <c r="S132" s="996" t="s">
        <v>183</v>
      </c>
      <c r="T132" s="994" t="s">
        <v>854</v>
      </c>
      <c r="U132" s="1047">
        <v>1</v>
      </c>
      <c r="V132" s="1057" t="s">
        <v>346</v>
      </c>
      <c r="W132" s="1044"/>
      <c r="AE132" s="981">
        <v>125</v>
      </c>
    </row>
    <row r="133" spans="1:31" x14ac:dyDescent="0.25">
      <c r="A133" s="96" t="s">
        <v>776</v>
      </c>
      <c r="B133" s="188" t="s">
        <v>695</v>
      </c>
      <c r="C133" s="917" t="s">
        <v>652</v>
      </c>
      <c r="H133" s="221">
        <f t="shared" si="5"/>
        <v>1</v>
      </c>
      <c r="R133" s="981" t="s">
        <v>811</v>
      </c>
      <c r="S133" s="997" t="s">
        <v>855</v>
      </c>
      <c r="T133" s="998" t="s">
        <v>856</v>
      </c>
      <c r="U133" s="1047">
        <v>2</v>
      </c>
      <c r="V133" s="1057" t="s">
        <v>346</v>
      </c>
      <c r="W133" s="1044"/>
      <c r="AE133" s="981">
        <v>126</v>
      </c>
    </row>
    <row r="134" spans="1:31" x14ac:dyDescent="0.25">
      <c r="A134" s="96" t="s">
        <v>777</v>
      </c>
      <c r="B134" s="188" t="s">
        <v>696</v>
      </c>
      <c r="C134" s="917" t="s">
        <v>653</v>
      </c>
      <c r="H134" s="221">
        <f t="shared" si="5"/>
        <v>2</v>
      </c>
      <c r="R134" s="981"/>
      <c r="S134" s="997" t="s">
        <v>857</v>
      </c>
      <c r="T134" s="1034" t="s">
        <v>858</v>
      </c>
      <c r="U134" s="1056"/>
      <c r="V134" s="1064"/>
      <c r="W134" s="1044"/>
      <c r="AE134" s="981">
        <v>127</v>
      </c>
    </row>
    <row r="135" spans="1:31" x14ac:dyDescent="0.25">
      <c r="A135" s="137" t="s">
        <v>174</v>
      </c>
      <c r="B135" s="946" t="s">
        <v>174</v>
      </c>
      <c r="C135" s="832" t="s">
        <v>465</v>
      </c>
      <c r="H135" s="963">
        <f t="shared" si="5"/>
        <v>0</v>
      </c>
      <c r="R135" s="981" t="s">
        <v>813</v>
      </c>
      <c r="S135" s="993"/>
      <c r="T135" s="989" t="s">
        <v>687</v>
      </c>
      <c r="U135" s="1047">
        <v>1</v>
      </c>
      <c r="V135" s="1057" t="s">
        <v>346</v>
      </c>
      <c r="W135" s="1044"/>
      <c r="AE135" s="981">
        <v>128</v>
      </c>
    </row>
    <row r="136" spans="1:31" s="981" customFormat="1" x14ac:dyDescent="0.25">
      <c r="A136" s="96"/>
      <c r="B136" s="188" t="s">
        <v>692</v>
      </c>
      <c r="C136" s="940" t="s">
        <v>654</v>
      </c>
      <c r="D136"/>
      <c r="E136"/>
      <c r="F136" s="30"/>
      <c r="G136"/>
      <c r="H136" s="221">
        <f t="shared" ref="H136:H198" si="9">SUMIF($R$7:$R$182,A136,$U$7:$U$182)</f>
        <v>0</v>
      </c>
      <c r="I136"/>
      <c r="J136"/>
      <c r="K136"/>
      <c r="R136" s="981" t="s">
        <v>814</v>
      </c>
      <c r="S136" s="993"/>
      <c r="T136" s="989" t="s">
        <v>688</v>
      </c>
      <c r="U136" s="1047">
        <v>1</v>
      </c>
      <c r="V136" s="1057" t="s">
        <v>346</v>
      </c>
      <c r="W136" s="1044"/>
      <c r="X136"/>
      <c r="Y136"/>
      <c r="Z136"/>
      <c r="AA136"/>
      <c r="AB136"/>
      <c r="AC136"/>
      <c r="AD136"/>
      <c r="AE136" s="981">
        <v>129</v>
      </c>
    </row>
    <row r="137" spans="1:31" x14ac:dyDescent="0.25">
      <c r="A137" s="96" t="s">
        <v>779</v>
      </c>
      <c r="B137" s="188" t="s">
        <v>695</v>
      </c>
      <c r="C137" s="917" t="s">
        <v>655</v>
      </c>
      <c r="D137" s="981"/>
      <c r="E137" s="981"/>
      <c r="F137" s="981"/>
      <c r="G137" s="981"/>
      <c r="H137" s="221">
        <f t="shared" si="9"/>
        <v>1</v>
      </c>
      <c r="I137" s="981"/>
      <c r="J137" s="981"/>
      <c r="K137" s="981"/>
      <c r="R137" s="981"/>
      <c r="S137" s="993"/>
      <c r="T137" s="995"/>
      <c r="U137" s="1053"/>
      <c r="V137" s="1046"/>
      <c r="W137" s="1044"/>
      <c r="AE137" s="981">
        <v>130</v>
      </c>
    </row>
    <row r="138" spans="1:31" x14ac:dyDescent="0.25">
      <c r="A138" s="96" t="s">
        <v>780</v>
      </c>
      <c r="B138" s="188" t="s">
        <v>696</v>
      </c>
      <c r="C138" s="917" t="s">
        <v>656</v>
      </c>
      <c r="H138" s="221">
        <f t="shared" si="9"/>
        <v>1</v>
      </c>
      <c r="R138" s="981"/>
      <c r="S138" s="986" t="s">
        <v>379</v>
      </c>
      <c r="T138" s="985"/>
      <c r="U138" s="1045"/>
      <c r="V138" s="1046"/>
      <c r="W138" s="1044"/>
      <c r="AE138" s="981">
        <v>131</v>
      </c>
    </row>
    <row r="139" spans="1:31" x14ac:dyDescent="0.25">
      <c r="A139" s="96" t="s">
        <v>781</v>
      </c>
      <c r="B139" s="188" t="s">
        <v>694</v>
      </c>
      <c r="C139" s="1011" t="s">
        <v>892</v>
      </c>
      <c r="H139" s="1035">
        <f>IF(SUMIF($R$7:$R$182,A139,$U$7:$U$182)=2,1,SUMIF($R$7:$R$182,A139,$U$7:$U$182))</f>
        <v>1</v>
      </c>
      <c r="I139" t="s">
        <v>944</v>
      </c>
      <c r="R139" s="981" t="s">
        <v>815</v>
      </c>
      <c r="S139" s="996" t="s">
        <v>380</v>
      </c>
      <c r="T139" s="994" t="s">
        <v>381</v>
      </c>
      <c r="U139" s="1047">
        <v>3</v>
      </c>
      <c r="V139" s="1057" t="s">
        <v>346</v>
      </c>
      <c r="W139" s="1044"/>
      <c r="AE139" s="981">
        <v>132</v>
      </c>
    </row>
    <row r="140" spans="1:31" x14ac:dyDescent="0.25">
      <c r="A140" s="96" t="s">
        <v>894</v>
      </c>
      <c r="B140" s="188" t="s">
        <v>693</v>
      </c>
      <c r="C140" s="1011" t="s">
        <v>893</v>
      </c>
      <c r="H140" s="1035">
        <f>IF(SUMIF($R$7:$R$182,A139,$U$7:$U$182)=2,1,0)</f>
        <v>1</v>
      </c>
      <c r="I140" s="1042" t="s">
        <v>944</v>
      </c>
      <c r="R140" s="981" t="s">
        <v>818</v>
      </c>
      <c r="S140" s="996" t="s">
        <v>382</v>
      </c>
      <c r="T140" s="994" t="s">
        <v>859</v>
      </c>
      <c r="U140" s="1047">
        <v>2</v>
      </c>
      <c r="V140" s="1057" t="s">
        <v>346</v>
      </c>
      <c r="W140" s="1044"/>
      <c r="AE140" s="981">
        <v>133</v>
      </c>
    </row>
    <row r="141" spans="1:31" x14ac:dyDescent="0.25">
      <c r="A141" s="137" t="s">
        <v>175</v>
      </c>
      <c r="B141" s="946" t="s">
        <v>175</v>
      </c>
      <c r="C141" s="832" t="s">
        <v>466</v>
      </c>
      <c r="H141" s="963">
        <f t="shared" si="9"/>
        <v>0</v>
      </c>
      <c r="R141" s="981" t="s">
        <v>820</v>
      </c>
      <c r="S141" s="996" t="s">
        <v>384</v>
      </c>
      <c r="T141" s="994" t="s">
        <v>385</v>
      </c>
      <c r="U141" s="1047">
        <v>1</v>
      </c>
      <c r="V141" s="1057" t="s">
        <v>346</v>
      </c>
      <c r="W141" s="1044"/>
      <c r="AE141" s="981">
        <v>134</v>
      </c>
    </row>
    <row r="142" spans="1:31" x14ac:dyDescent="0.25">
      <c r="A142" s="96" t="s">
        <v>782</v>
      </c>
      <c r="B142" s="947" t="s">
        <v>692</v>
      </c>
      <c r="C142" s="917" t="s">
        <v>658</v>
      </c>
      <c r="H142" s="221">
        <f t="shared" si="9"/>
        <v>1</v>
      </c>
      <c r="R142" s="981" t="s">
        <v>822</v>
      </c>
      <c r="S142" s="996" t="s">
        <v>386</v>
      </c>
      <c r="T142" s="994" t="s">
        <v>387</v>
      </c>
      <c r="U142" s="1047">
        <v>1</v>
      </c>
      <c r="V142" s="1057" t="s">
        <v>346</v>
      </c>
      <c r="W142" s="1044"/>
      <c r="AE142" s="981">
        <v>135</v>
      </c>
    </row>
    <row r="143" spans="1:31" x14ac:dyDescent="0.25">
      <c r="A143" s="96" t="s">
        <v>783</v>
      </c>
      <c r="B143" s="947" t="s">
        <v>695</v>
      </c>
      <c r="C143" s="917" t="s">
        <v>659</v>
      </c>
      <c r="H143" s="221">
        <f t="shared" si="9"/>
        <v>1</v>
      </c>
      <c r="R143" s="981"/>
      <c r="S143" s="987"/>
      <c r="T143" s="985"/>
      <c r="U143" s="1045"/>
      <c r="V143" s="1046"/>
      <c r="W143" s="1044"/>
      <c r="AE143" s="981">
        <v>136</v>
      </c>
    </row>
    <row r="144" spans="1:31" x14ac:dyDescent="0.25">
      <c r="A144" s="96" t="s">
        <v>784</v>
      </c>
      <c r="B144" s="947" t="s">
        <v>696</v>
      </c>
      <c r="C144" s="917" t="s">
        <v>660</v>
      </c>
      <c r="H144" s="221">
        <f t="shared" si="9"/>
        <v>1</v>
      </c>
      <c r="R144" s="981"/>
      <c r="S144" s="986" t="s">
        <v>388</v>
      </c>
      <c r="T144" s="985"/>
      <c r="U144" s="1045"/>
      <c r="V144" s="1046"/>
      <c r="W144" s="1044"/>
      <c r="AE144" s="981">
        <v>137</v>
      </c>
    </row>
    <row r="145" spans="1:31" x14ac:dyDescent="0.25">
      <c r="A145" s="137" t="s">
        <v>478</v>
      </c>
      <c r="B145" s="946" t="s">
        <v>478</v>
      </c>
      <c r="C145" s="832" t="s">
        <v>467</v>
      </c>
      <c r="H145" s="963">
        <f t="shared" si="9"/>
        <v>0</v>
      </c>
      <c r="R145" s="981" t="s">
        <v>189</v>
      </c>
      <c r="S145" s="991" t="s">
        <v>547</v>
      </c>
      <c r="T145" s="989" t="s">
        <v>860</v>
      </c>
      <c r="U145" s="1047">
        <v>1</v>
      </c>
      <c r="V145" s="1057" t="s">
        <v>346</v>
      </c>
      <c r="W145" s="1044"/>
      <c r="AE145" s="981">
        <v>138</v>
      </c>
    </row>
    <row r="146" spans="1:31" x14ac:dyDescent="0.25">
      <c r="A146" s="96" t="s">
        <v>785</v>
      </c>
      <c r="B146" s="947" t="s">
        <v>692</v>
      </c>
      <c r="C146" s="917" t="s">
        <v>661</v>
      </c>
      <c r="H146" s="221">
        <f t="shared" si="9"/>
        <v>1</v>
      </c>
      <c r="R146" s="981" t="s">
        <v>190</v>
      </c>
      <c r="S146" s="991" t="s">
        <v>861</v>
      </c>
      <c r="T146" s="989" t="s">
        <v>862</v>
      </c>
      <c r="U146" s="1047"/>
      <c r="V146" s="1057" t="s">
        <v>346</v>
      </c>
      <c r="W146" s="1044"/>
      <c r="AE146" s="981">
        <v>139</v>
      </c>
    </row>
    <row r="147" spans="1:31" x14ac:dyDescent="0.25">
      <c r="A147" s="96" t="s">
        <v>786</v>
      </c>
      <c r="B147" s="947" t="s">
        <v>695</v>
      </c>
      <c r="C147" s="917" t="s">
        <v>662</v>
      </c>
      <c r="H147" s="221">
        <f t="shared" si="9"/>
        <v>1</v>
      </c>
      <c r="R147" s="981" t="s">
        <v>191</v>
      </c>
      <c r="S147" s="991" t="s">
        <v>861</v>
      </c>
      <c r="T147" s="989" t="s">
        <v>863</v>
      </c>
      <c r="U147" s="1047">
        <v>1</v>
      </c>
      <c r="V147" s="1057" t="s">
        <v>346</v>
      </c>
      <c r="W147" s="1044"/>
      <c r="AE147" s="981">
        <v>140</v>
      </c>
    </row>
    <row r="148" spans="1:31" ht="15.75" thickBot="1" x14ac:dyDescent="0.3">
      <c r="A148" s="96" t="s">
        <v>787</v>
      </c>
      <c r="B148" s="948" t="s">
        <v>696</v>
      </c>
      <c r="C148" s="950" t="s">
        <v>663</v>
      </c>
      <c r="H148" s="221">
        <f t="shared" si="9"/>
        <v>1</v>
      </c>
      <c r="R148" s="981" t="s">
        <v>192</v>
      </c>
      <c r="S148" s="991" t="s">
        <v>541</v>
      </c>
      <c r="T148" s="989" t="s">
        <v>864</v>
      </c>
      <c r="U148" s="1047">
        <v>1</v>
      </c>
      <c r="V148" s="1057" t="s">
        <v>346</v>
      </c>
      <c r="W148" s="1044"/>
      <c r="AE148" s="981">
        <v>141</v>
      </c>
    </row>
    <row r="149" spans="1:31" ht="15.75" thickBot="1" x14ac:dyDescent="0.3">
      <c r="A149" s="96" t="s">
        <v>886</v>
      </c>
      <c r="B149" s="711"/>
      <c r="C149" s="710" t="s">
        <v>213</v>
      </c>
      <c r="H149" s="226">
        <f t="shared" si="9"/>
        <v>0</v>
      </c>
      <c r="R149" s="981" t="s">
        <v>193</v>
      </c>
      <c r="S149" s="991" t="s">
        <v>572</v>
      </c>
      <c r="T149" s="989" t="s">
        <v>865</v>
      </c>
      <c r="U149" s="1047">
        <v>4</v>
      </c>
      <c r="V149" s="1057" t="s">
        <v>346</v>
      </c>
      <c r="W149" s="1044"/>
      <c r="AE149" s="981">
        <v>142</v>
      </c>
    </row>
    <row r="150" spans="1:31" ht="15.75" thickBot="1" x14ac:dyDescent="0.3">
      <c r="A150" s="96"/>
      <c r="B150" s="96"/>
      <c r="C150" s="96"/>
      <c r="H150" s="96">
        <f t="shared" si="9"/>
        <v>0</v>
      </c>
      <c r="R150" s="981" t="s">
        <v>194</v>
      </c>
      <c r="S150" s="991" t="s">
        <v>572</v>
      </c>
      <c r="T150" s="989" t="s">
        <v>866</v>
      </c>
      <c r="U150" s="1047">
        <v>1</v>
      </c>
      <c r="V150" s="1057" t="s">
        <v>346</v>
      </c>
      <c r="W150" s="1044"/>
      <c r="AE150" s="981">
        <v>143</v>
      </c>
    </row>
    <row r="151" spans="1:31" ht="15.75" thickBot="1" x14ac:dyDescent="0.3">
      <c r="A151" s="96"/>
      <c r="B151" s="145"/>
      <c r="C151" s="146" t="s">
        <v>68</v>
      </c>
      <c r="H151" s="138">
        <f t="shared" si="9"/>
        <v>0</v>
      </c>
      <c r="R151" s="981" t="s">
        <v>195</v>
      </c>
      <c r="S151" s="991" t="s">
        <v>867</v>
      </c>
      <c r="T151" s="989" t="s">
        <v>868</v>
      </c>
      <c r="U151" s="1047">
        <v>1</v>
      </c>
      <c r="V151" s="1057" t="s">
        <v>346</v>
      </c>
      <c r="W151" s="1044"/>
      <c r="AE151" s="981">
        <v>144</v>
      </c>
    </row>
    <row r="152" spans="1:31" x14ac:dyDescent="0.25">
      <c r="A152" s="137" t="s">
        <v>176</v>
      </c>
      <c r="B152" s="833" t="s">
        <v>176</v>
      </c>
      <c r="C152" s="831" t="s">
        <v>158</v>
      </c>
      <c r="H152" s="961">
        <f t="shared" si="9"/>
        <v>0</v>
      </c>
      <c r="R152" s="981" t="s">
        <v>223</v>
      </c>
      <c r="S152" s="991" t="s">
        <v>4</v>
      </c>
      <c r="T152" s="989" t="s">
        <v>869</v>
      </c>
      <c r="U152" s="1047">
        <v>1</v>
      </c>
      <c r="V152" s="1057" t="s">
        <v>346</v>
      </c>
      <c r="W152" s="1044"/>
      <c r="AE152" s="981">
        <v>145</v>
      </c>
    </row>
    <row r="153" spans="1:31" x14ac:dyDescent="0.25">
      <c r="A153" s="96" t="s">
        <v>788</v>
      </c>
      <c r="B153" s="163" t="s">
        <v>692</v>
      </c>
      <c r="C153" s="917" t="s">
        <v>664</v>
      </c>
      <c r="H153" s="221">
        <f t="shared" si="9"/>
        <v>1</v>
      </c>
      <c r="R153" s="981" t="s">
        <v>253</v>
      </c>
      <c r="S153" s="991" t="s">
        <v>550</v>
      </c>
      <c r="T153" s="989" t="s">
        <v>870</v>
      </c>
      <c r="U153" s="1047">
        <v>1</v>
      </c>
      <c r="V153" s="1057" t="s">
        <v>346</v>
      </c>
      <c r="W153" s="1044"/>
      <c r="AE153" s="981">
        <v>146</v>
      </c>
    </row>
    <row r="154" spans="1:31" x14ac:dyDescent="0.25">
      <c r="A154" s="96" t="s">
        <v>789</v>
      </c>
      <c r="B154" s="163" t="s">
        <v>695</v>
      </c>
      <c r="C154" s="917" t="s">
        <v>665</v>
      </c>
      <c r="H154" s="221">
        <f t="shared" si="9"/>
        <v>2</v>
      </c>
      <c r="R154" s="981" t="s">
        <v>473</v>
      </c>
      <c r="S154" s="982" t="s">
        <v>552</v>
      </c>
      <c r="T154" s="989" t="s">
        <v>871</v>
      </c>
      <c r="U154" s="1047">
        <v>1</v>
      </c>
      <c r="V154" s="1057" t="s">
        <v>346</v>
      </c>
      <c r="W154" s="1044"/>
      <c r="AE154" s="981">
        <v>147</v>
      </c>
    </row>
    <row r="155" spans="1:31" x14ac:dyDescent="0.25">
      <c r="A155" s="96" t="s">
        <v>790</v>
      </c>
      <c r="B155" s="163" t="s">
        <v>696</v>
      </c>
      <c r="C155" s="917" t="s">
        <v>666</v>
      </c>
      <c r="H155" s="221">
        <f t="shared" si="9"/>
        <v>2</v>
      </c>
      <c r="R155" s="981" t="s">
        <v>474</v>
      </c>
      <c r="S155" s="982" t="s">
        <v>872</v>
      </c>
      <c r="T155" s="989" t="s">
        <v>873</v>
      </c>
      <c r="U155" s="1047">
        <v>1</v>
      </c>
      <c r="V155" s="1057" t="s">
        <v>346</v>
      </c>
      <c r="W155" s="1044"/>
      <c r="AE155" s="981">
        <v>148</v>
      </c>
    </row>
    <row r="156" spans="1:31" x14ac:dyDescent="0.25">
      <c r="A156" s="96"/>
      <c r="B156" s="701" t="s">
        <v>177</v>
      </c>
      <c r="C156" s="702"/>
      <c r="H156" s="956">
        <f t="shared" si="9"/>
        <v>0</v>
      </c>
      <c r="R156" s="981" t="s">
        <v>475</v>
      </c>
      <c r="S156" s="982" t="s">
        <v>874</v>
      </c>
      <c r="T156" s="989" t="s">
        <v>875</v>
      </c>
      <c r="U156" s="1047">
        <v>1</v>
      </c>
      <c r="V156" s="1057" t="s">
        <v>346</v>
      </c>
      <c r="W156" s="1044"/>
      <c r="AE156" s="981">
        <v>149</v>
      </c>
    </row>
    <row r="157" spans="1:31" x14ac:dyDescent="0.25">
      <c r="A157" s="137" t="s">
        <v>372</v>
      </c>
      <c r="B157" s="834" t="s">
        <v>372</v>
      </c>
      <c r="C157" s="832" t="s">
        <v>794</v>
      </c>
      <c r="H157" s="221">
        <f t="shared" si="9"/>
        <v>0</v>
      </c>
      <c r="R157" s="981" t="s">
        <v>476</v>
      </c>
      <c r="S157" s="982" t="s">
        <v>876</v>
      </c>
      <c r="T157" s="989" t="s">
        <v>877</v>
      </c>
      <c r="U157" s="1047">
        <v>1</v>
      </c>
      <c r="V157" s="1057" t="s">
        <v>346</v>
      </c>
      <c r="W157" s="1044"/>
      <c r="AE157" s="981">
        <v>150</v>
      </c>
    </row>
    <row r="158" spans="1:31" x14ac:dyDescent="0.25">
      <c r="A158" s="96" t="s">
        <v>791</v>
      </c>
      <c r="B158" s="166" t="s">
        <v>692</v>
      </c>
      <c r="C158" s="917" t="s">
        <v>373</v>
      </c>
      <c r="H158" s="221">
        <f>SUMIF($R$7:$R$182,A158,$U$7:$U$182)</f>
        <v>1</v>
      </c>
      <c r="R158" s="981" t="s">
        <v>697</v>
      </c>
      <c r="S158" s="982" t="s">
        <v>857</v>
      </c>
      <c r="T158" s="989" t="s">
        <v>878</v>
      </c>
      <c r="U158" s="1047">
        <v>1</v>
      </c>
      <c r="V158" s="1057" t="s">
        <v>346</v>
      </c>
      <c r="W158" s="1044"/>
      <c r="AE158" s="981">
        <v>151</v>
      </c>
    </row>
    <row r="159" spans="1:31" x14ac:dyDescent="0.25">
      <c r="A159" s="137" t="s">
        <v>374</v>
      </c>
      <c r="B159" s="834" t="s">
        <v>374</v>
      </c>
      <c r="C159" s="832" t="s">
        <v>795</v>
      </c>
      <c r="H159" s="963">
        <f t="shared" si="9"/>
        <v>0</v>
      </c>
      <c r="R159" s="981"/>
      <c r="T159" s="981"/>
      <c r="U159" s="981"/>
      <c r="V159" s="1046"/>
      <c r="W159" s="1044"/>
      <c r="Z159">
        <v>2</v>
      </c>
      <c r="AE159" s="981">
        <v>152</v>
      </c>
    </row>
    <row r="160" spans="1:31" x14ac:dyDescent="0.25">
      <c r="A160" s="96" t="s">
        <v>792</v>
      </c>
      <c r="B160" s="166" t="s">
        <v>692</v>
      </c>
      <c r="C160" s="917" t="s">
        <v>667</v>
      </c>
      <c r="H160" s="221">
        <f t="shared" si="9"/>
        <v>0</v>
      </c>
      <c r="T160" s="981"/>
      <c r="U160" s="981"/>
      <c r="V160" s="1046"/>
      <c r="W160" s="1044"/>
      <c r="AE160" s="981">
        <v>153</v>
      </c>
    </row>
    <row r="161" spans="1:31" x14ac:dyDescent="0.25">
      <c r="A161" s="137" t="s">
        <v>178</v>
      </c>
      <c r="B161" s="834" t="s">
        <v>178</v>
      </c>
      <c r="C161" s="832" t="s">
        <v>669</v>
      </c>
      <c r="H161" s="963">
        <f t="shared" si="9"/>
        <v>0</v>
      </c>
      <c r="T161" s="981"/>
      <c r="U161" s="981"/>
      <c r="V161" s="1046"/>
      <c r="W161" s="1044"/>
      <c r="AE161" s="981">
        <v>154</v>
      </c>
    </row>
    <row r="162" spans="1:31" ht="15.75" thickBot="1" x14ac:dyDescent="0.3">
      <c r="A162" s="96" t="s">
        <v>793</v>
      </c>
      <c r="B162" s="231" t="s">
        <v>692</v>
      </c>
      <c r="C162" s="917" t="s">
        <v>668</v>
      </c>
      <c r="H162" s="221">
        <f t="shared" si="9"/>
        <v>0</v>
      </c>
      <c r="T162" s="981"/>
      <c r="U162" s="981"/>
      <c r="V162" s="1046"/>
      <c r="W162" s="1044"/>
      <c r="AE162" s="981">
        <v>155</v>
      </c>
    </row>
    <row r="163" spans="1:31" ht="15.75" thickBot="1" x14ac:dyDescent="0.3">
      <c r="A163" s="96" t="s">
        <v>887</v>
      </c>
      <c r="B163" s="201"/>
      <c r="C163" s="202" t="s">
        <v>213</v>
      </c>
      <c r="H163" s="226">
        <f t="shared" si="9"/>
        <v>0</v>
      </c>
      <c r="T163" s="981"/>
      <c r="U163" s="981"/>
      <c r="V163" s="1046"/>
      <c r="W163" s="1044"/>
      <c r="AE163" s="981">
        <v>156</v>
      </c>
    </row>
    <row r="164" spans="1:31" ht="15.75" thickBot="1" x14ac:dyDescent="0.3">
      <c r="A164" s="96"/>
      <c r="B164" s="96"/>
      <c r="C164" s="96"/>
      <c r="H164" s="96">
        <f t="shared" si="9"/>
        <v>0</v>
      </c>
      <c r="T164" s="981"/>
      <c r="U164" s="981"/>
      <c r="V164" s="1046"/>
      <c r="W164" s="1044"/>
      <c r="AE164" s="981">
        <v>157</v>
      </c>
    </row>
    <row r="165" spans="1:31" ht="15.75" thickBot="1" x14ac:dyDescent="0.3">
      <c r="A165" s="96"/>
      <c r="B165" s="151"/>
      <c r="C165" s="152" t="s">
        <v>224</v>
      </c>
      <c r="H165" s="138">
        <f t="shared" si="9"/>
        <v>0</v>
      </c>
      <c r="T165" s="981"/>
      <c r="U165" s="981"/>
      <c r="V165" s="1046"/>
      <c r="W165" s="1044"/>
    </row>
    <row r="166" spans="1:31" x14ac:dyDescent="0.25">
      <c r="A166" s="137" t="s">
        <v>179</v>
      </c>
      <c r="B166" s="858" t="s">
        <v>179</v>
      </c>
      <c r="C166" s="859" t="s">
        <v>159</v>
      </c>
      <c r="H166" s="961">
        <f t="shared" si="9"/>
        <v>0</v>
      </c>
      <c r="T166" s="981"/>
      <c r="U166" s="981"/>
      <c r="V166" s="1046"/>
      <c r="W166" s="1044"/>
    </row>
    <row r="167" spans="1:31" x14ac:dyDescent="0.25">
      <c r="A167" s="96" t="s">
        <v>796</v>
      </c>
      <c r="B167" s="166" t="s">
        <v>692</v>
      </c>
      <c r="C167" s="917" t="s">
        <v>670</v>
      </c>
      <c r="H167" s="221">
        <f t="shared" si="9"/>
        <v>2</v>
      </c>
      <c r="T167" s="981"/>
      <c r="U167" s="981"/>
      <c r="V167" s="1046"/>
      <c r="W167" s="1044"/>
    </row>
    <row r="168" spans="1:31" x14ac:dyDescent="0.25">
      <c r="A168" s="137" t="s">
        <v>180</v>
      </c>
      <c r="B168" s="834" t="s">
        <v>180</v>
      </c>
      <c r="C168" s="832" t="s">
        <v>468</v>
      </c>
      <c r="H168" s="963">
        <f t="shared" si="9"/>
        <v>0</v>
      </c>
      <c r="T168" s="981"/>
      <c r="U168" s="981"/>
      <c r="V168" s="1046"/>
      <c r="W168" s="1044"/>
    </row>
    <row r="169" spans="1:31" x14ac:dyDescent="0.25">
      <c r="A169" s="96"/>
      <c r="B169" s="166" t="s">
        <v>692</v>
      </c>
      <c r="C169" s="940" t="s">
        <v>671</v>
      </c>
      <c r="H169" s="221">
        <f t="shared" si="9"/>
        <v>0</v>
      </c>
      <c r="T169" s="981"/>
      <c r="U169" s="981"/>
      <c r="V169" s="1046"/>
      <c r="W169" s="1044"/>
    </row>
    <row r="170" spans="1:31" x14ac:dyDescent="0.25">
      <c r="A170" s="96" t="s">
        <v>798</v>
      </c>
      <c r="B170" s="188" t="s">
        <v>695</v>
      </c>
      <c r="C170" s="917" t="s">
        <v>672</v>
      </c>
      <c r="H170" s="221">
        <f t="shared" si="9"/>
        <v>1</v>
      </c>
      <c r="T170" s="981"/>
      <c r="U170" s="981"/>
      <c r="V170" s="1046"/>
      <c r="W170" s="1044"/>
    </row>
    <row r="171" spans="1:31" x14ac:dyDescent="0.25">
      <c r="A171" s="96" t="s">
        <v>799</v>
      </c>
      <c r="B171" s="188" t="s">
        <v>696</v>
      </c>
      <c r="C171" s="917" t="s">
        <v>673</v>
      </c>
      <c r="H171" s="221">
        <f t="shared" si="9"/>
        <v>1</v>
      </c>
      <c r="T171" s="981"/>
      <c r="U171" s="981"/>
      <c r="V171" s="1046"/>
      <c r="W171" s="1044"/>
    </row>
    <row r="172" spans="1:31" x14ac:dyDescent="0.25">
      <c r="A172" s="137" t="s">
        <v>479</v>
      </c>
      <c r="B172" s="946" t="s">
        <v>479</v>
      </c>
      <c r="C172" s="832" t="s">
        <v>469</v>
      </c>
      <c r="H172" s="963">
        <f t="shared" si="9"/>
        <v>0</v>
      </c>
      <c r="T172" s="981"/>
      <c r="U172" s="981"/>
      <c r="V172" s="1046"/>
      <c r="W172" s="1044"/>
    </row>
    <row r="173" spans="1:31" x14ac:dyDescent="0.25">
      <c r="A173" s="96"/>
      <c r="B173" s="188" t="s">
        <v>692</v>
      </c>
      <c r="C173" s="940" t="s">
        <v>674</v>
      </c>
      <c r="H173" s="221">
        <f t="shared" si="9"/>
        <v>0</v>
      </c>
      <c r="T173" s="981"/>
      <c r="U173" s="981"/>
      <c r="V173" s="1046"/>
      <c r="W173" s="1044"/>
    </row>
    <row r="174" spans="1:31" x14ac:dyDescent="0.25">
      <c r="A174" s="96" t="s">
        <v>801</v>
      </c>
      <c r="B174" s="188" t="s">
        <v>695</v>
      </c>
      <c r="C174" s="917" t="s">
        <v>675</v>
      </c>
      <c r="H174" s="221">
        <f t="shared" si="9"/>
        <v>0</v>
      </c>
      <c r="T174" s="981"/>
      <c r="U174" s="981"/>
      <c r="V174" s="981"/>
      <c r="W174" s="1044"/>
    </row>
    <row r="175" spans="1:31" x14ac:dyDescent="0.25">
      <c r="A175" s="96" t="s">
        <v>802</v>
      </c>
      <c r="B175" s="188" t="s">
        <v>696</v>
      </c>
      <c r="C175" s="917" t="s">
        <v>676</v>
      </c>
      <c r="H175" s="221">
        <f t="shared" si="9"/>
        <v>0</v>
      </c>
      <c r="T175" s="981"/>
      <c r="U175" s="981"/>
      <c r="V175" s="981"/>
      <c r="W175" s="1044"/>
    </row>
    <row r="176" spans="1:31" x14ac:dyDescent="0.25">
      <c r="A176" s="137" t="s">
        <v>181</v>
      </c>
      <c r="B176" s="946" t="s">
        <v>181</v>
      </c>
      <c r="C176" s="832" t="s">
        <v>470</v>
      </c>
      <c r="H176" s="963">
        <f t="shared" si="9"/>
        <v>0</v>
      </c>
      <c r="T176" s="981"/>
      <c r="U176" s="981"/>
      <c r="V176" s="981"/>
      <c r="W176" s="1044"/>
    </row>
    <row r="177" spans="1:23" x14ac:dyDescent="0.25">
      <c r="A177" s="96"/>
      <c r="B177" s="188" t="s">
        <v>692</v>
      </c>
      <c r="C177" s="940" t="s">
        <v>677</v>
      </c>
      <c r="H177" s="221">
        <f t="shared" si="9"/>
        <v>0</v>
      </c>
      <c r="T177" s="981"/>
      <c r="U177" s="981"/>
      <c r="V177" s="981"/>
      <c r="W177" s="1044"/>
    </row>
    <row r="178" spans="1:23" x14ac:dyDescent="0.25">
      <c r="A178" s="96" t="s">
        <v>804</v>
      </c>
      <c r="B178" s="188" t="s">
        <v>695</v>
      </c>
      <c r="C178" s="917" t="s">
        <v>678</v>
      </c>
      <c r="H178" s="221">
        <f t="shared" si="9"/>
        <v>1</v>
      </c>
      <c r="T178" s="981"/>
      <c r="U178" s="981"/>
      <c r="V178" s="981"/>
      <c r="W178" s="1044"/>
    </row>
    <row r="179" spans="1:23" x14ac:dyDescent="0.25">
      <c r="A179" s="96" t="s">
        <v>805</v>
      </c>
      <c r="B179" s="188" t="s">
        <v>696</v>
      </c>
      <c r="C179" s="917" t="s">
        <v>679</v>
      </c>
      <c r="H179" s="221">
        <f t="shared" si="9"/>
        <v>3</v>
      </c>
      <c r="T179" s="981"/>
      <c r="U179" s="981"/>
      <c r="V179" s="981"/>
      <c r="W179" s="1044"/>
    </row>
    <row r="180" spans="1:23" x14ac:dyDescent="0.25">
      <c r="A180" s="137" t="s">
        <v>182</v>
      </c>
      <c r="B180" s="946" t="s">
        <v>182</v>
      </c>
      <c r="C180" s="832" t="s">
        <v>471</v>
      </c>
      <c r="H180" s="963">
        <f t="shared" si="9"/>
        <v>0</v>
      </c>
      <c r="T180" s="981"/>
      <c r="U180" s="981"/>
      <c r="V180" s="981"/>
      <c r="W180" s="1044"/>
    </row>
    <row r="181" spans="1:23" x14ac:dyDescent="0.25">
      <c r="A181" s="96"/>
      <c r="B181" s="188" t="s">
        <v>692</v>
      </c>
      <c r="C181" s="940" t="s">
        <v>680</v>
      </c>
      <c r="H181" s="221">
        <f t="shared" si="9"/>
        <v>0</v>
      </c>
      <c r="T181" s="981"/>
      <c r="U181" s="981"/>
      <c r="V181" s="981"/>
      <c r="W181" s="1044"/>
    </row>
    <row r="182" spans="1:23" x14ac:dyDescent="0.25">
      <c r="A182" s="96" t="s">
        <v>807</v>
      </c>
      <c r="B182" s="188" t="s">
        <v>695</v>
      </c>
      <c r="C182" s="917" t="s">
        <v>681</v>
      </c>
      <c r="H182" s="221">
        <f t="shared" si="9"/>
        <v>1</v>
      </c>
      <c r="T182" s="981"/>
      <c r="U182" s="981"/>
      <c r="V182" s="981"/>
      <c r="W182" s="1044"/>
    </row>
    <row r="183" spans="1:23" x14ac:dyDescent="0.25">
      <c r="A183" s="96" t="s">
        <v>808</v>
      </c>
      <c r="B183" s="188" t="s">
        <v>696</v>
      </c>
      <c r="C183" s="917" t="s">
        <v>682</v>
      </c>
      <c r="H183" s="221">
        <f t="shared" si="9"/>
        <v>1</v>
      </c>
      <c r="T183" s="981"/>
      <c r="U183" s="981"/>
      <c r="V183" s="981"/>
      <c r="W183" s="1044"/>
    </row>
    <row r="184" spans="1:23" x14ac:dyDescent="0.25">
      <c r="A184" s="137" t="s">
        <v>183</v>
      </c>
      <c r="B184" s="946" t="s">
        <v>183</v>
      </c>
      <c r="C184" s="832" t="s">
        <v>689</v>
      </c>
      <c r="H184" s="963">
        <f t="shared" si="9"/>
        <v>0</v>
      </c>
      <c r="T184" s="981"/>
      <c r="U184" s="981"/>
      <c r="V184" s="981"/>
      <c r="W184" s="1044"/>
    </row>
    <row r="185" spans="1:23" x14ac:dyDescent="0.25">
      <c r="A185" s="96" t="s">
        <v>809</v>
      </c>
      <c r="B185" s="188" t="s">
        <v>692</v>
      </c>
      <c r="C185" s="917" t="s">
        <v>683</v>
      </c>
      <c r="H185" s="221">
        <f t="shared" si="9"/>
        <v>1</v>
      </c>
      <c r="T185" s="981"/>
      <c r="U185" s="981"/>
      <c r="V185" s="981"/>
      <c r="W185" s="1044"/>
    </row>
    <row r="186" spans="1:23" x14ac:dyDescent="0.25">
      <c r="A186" s="137" t="s">
        <v>480</v>
      </c>
      <c r="B186" s="946" t="s">
        <v>480</v>
      </c>
      <c r="C186" s="832" t="s">
        <v>690</v>
      </c>
      <c r="H186" s="963">
        <f t="shared" si="9"/>
        <v>0</v>
      </c>
      <c r="T186" s="981"/>
      <c r="U186" s="981"/>
      <c r="V186" s="981"/>
      <c r="W186" s="1044"/>
    </row>
    <row r="187" spans="1:23" x14ac:dyDescent="0.25">
      <c r="A187" s="96"/>
      <c r="B187" s="188" t="s">
        <v>692</v>
      </c>
      <c r="C187" s="940" t="s">
        <v>684</v>
      </c>
      <c r="H187" s="221">
        <f t="shared" si="9"/>
        <v>0</v>
      </c>
      <c r="T187" s="981"/>
      <c r="U187" s="981"/>
      <c r="V187" s="981"/>
      <c r="W187" s="1044"/>
    </row>
    <row r="188" spans="1:23" x14ac:dyDescent="0.25">
      <c r="A188" s="96" t="s">
        <v>811</v>
      </c>
      <c r="B188" s="188" t="s">
        <v>695</v>
      </c>
      <c r="C188" s="917" t="s">
        <v>685</v>
      </c>
      <c r="H188" s="221">
        <f t="shared" si="9"/>
        <v>2</v>
      </c>
      <c r="T188" s="981"/>
      <c r="U188" s="981"/>
      <c r="V188" s="981"/>
      <c r="W188" s="1044"/>
    </row>
    <row r="189" spans="1:23" x14ac:dyDescent="0.25">
      <c r="A189" s="137" t="s">
        <v>481</v>
      </c>
      <c r="B189" s="946" t="s">
        <v>481</v>
      </c>
      <c r="C189" s="832" t="s">
        <v>691</v>
      </c>
      <c r="H189" s="963">
        <f t="shared" si="9"/>
        <v>0</v>
      </c>
      <c r="T189" s="981"/>
      <c r="U189" s="981"/>
      <c r="V189" s="981"/>
      <c r="W189" s="1044"/>
    </row>
    <row r="190" spans="1:23" x14ac:dyDescent="0.25">
      <c r="A190" s="96"/>
      <c r="B190" s="188" t="s">
        <v>692</v>
      </c>
      <c r="C190" s="940" t="s">
        <v>686</v>
      </c>
      <c r="H190" s="221">
        <f t="shared" si="9"/>
        <v>0</v>
      </c>
      <c r="T190" s="981"/>
      <c r="U190" s="981"/>
      <c r="V190" s="981"/>
      <c r="W190" s="1044"/>
    </row>
    <row r="191" spans="1:23" x14ac:dyDescent="0.25">
      <c r="A191" s="96" t="s">
        <v>813</v>
      </c>
      <c r="B191" s="188" t="s">
        <v>695</v>
      </c>
      <c r="C191" s="917" t="s">
        <v>959</v>
      </c>
      <c r="H191" s="221">
        <f t="shared" si="9"/>
        <v>1</v>
      </c>
      <c r="T191" s="981"/>
      <c r="U191" s="981"/>
      <c r="V191" s="981"/>
      <c r="W191" s="1044"/>
    </row>
    <row r="192" spans="1:23" s="1043" customFormat="1" x14ac:dyDescent="0.25">
      <c r="A192" s="96" t="s">
        <v>814</v>
      </c>
      <c r="B192" s="731" t="s">
        <v>696</v>
      </c>
      <c r="C192" s="917" t="s">
        <v>687</v>
      </c>
      <c r="H192" s="221">
        <f t="shared" si="9"/>
        <v>1</v>
      </c>
      <c r="W192" s="1044"/>
    </row>
    <row r="193" spans="1:23" ht="15.75" thickBot="1" x14ac:dyDescent="0.3">
      <c r="A193" s="96" t="s">
        <v>960</v>
      </c>
      <c r="B193" s="194" t="s">
        <v>694</v>
      </c>
      <c r="C193" s="917" t="s">
        <v>688</v>
      </c>
      <c r="H193" s="221">
        <f t="shared" si="9"/>
        <v>0</v>
      </c>
      <c r="T193" s="981"/>
      <c r="U193" s="981"/>
      <c r="V193" s="981"/>
      <c r="W193" s="1044"/>
    </row>
    <row r="194" spans="1:23" ht="15.75" thickBot="1" x14ac:dyDescent="0.3">
      <c r="A194" s="96" t="s">
        <v>888</v>
      </c>
      <c r="B194" s="711"/>
      <c r="C194" s="710" t="s">
        <v>213</v>
      </c>
      <c r="H194" s="226">
        <f t="shared" si="9"/>
        <v>0</v>
      </c>
      <c r="T194" s="981"/>
      <c r="U194" s="981"/>
      <c r="V194" s="981"/>
      <c r="W194" s="1044"/>
    </row>
    <row r="195" spans="1:23" ht="15.75" thickBot="1" x14ac:dyDescent="0.3">
      <c r="A195" s="96"/>
      <c r="B195" s="96"/>
      <c r="C195" s="96"/>
      <c r="H195" s="96">
        <f t="shared" si="9"/>
        <v>0</v>
      </c>
      <c r="T195" s="981"/>
      <c r="U195" s="981"/>
      <c r="V195" s="981"/>
      <c r="W195" s="1044"/>
    </row>
    <row r="196" spans="1:23" ht="15.75" thickBot="1" x14ac:dyDescent="0.3">
      <c r="A196" s="96"/>
      <c r="B196" s="151"/>
      <c r="C196" s="152" t="s">
        <v>70</v>
      </c>
      <c r="H196" s="138">
        <f t="shared" si="9"/>
        <v>0</v>
      </c>
      <c r="T196" s="981"/>
      <c r="U196" s="981"/>
      <c r="V196" s="981"/>
      <c r="W196" s="1044"/>
    </row>
    <row r="197" spans="1:23" x14ac:dyDescent="0.25">
      <c r="A197" s="137" t="s">
        <v>184</v>
      </c>
      <c r="B197" s="858" t="s">
        <v>184</v>
      </c>
      <c r="C197" s="859" t="s">
        <v>163</v>
      </c>
      <c r="H197" s="961">
        <f t="shared" si="9"/>
        <v>0</v>
      </c>
      <c r="T197" s="981"/>
      <c r="U197" s="981"/>
      <c r="V197" s="981"/>
      <c r="W197" s="1044"/>
    </row>
    <row r="198" spans="1:23" x14ac:dyDescent="0.25">
      <c r="A198" s="96" t="s">
        <v>815</v>
      </c>
      <c r="B198" s="166" t="s">
        <v>692</v>
      </c>
      <c r="C198" s="917" t="s">
        <v>898</v>
      </c>
      <c r="H198" s="1038">
        <f t="shared" si="9"/>
        <v>3</v>
      </c>
      <c r="I198" t="s">
        <v>945</v>
      </c>
      <c r="T198" s="981"/>
      <c r="U198" s="981"/>
      <c r="V198" s="981"/>
      <c r="W198" s="1044"/>
    </row>
    <row r="199" spans="1:23" x14ac:dyDescent="0.25">
      <c r="A199" s="96" t="s">
        <v>817</v>
      </c>
      <c r="B199" s="166" t="s">
        <v>696</v>
      </c>
      <c r="C199" s="917" t="s">
        <v>381</v>
      </c>
      <c r="H199" s="1038">
        <f>IF(H198=3,2,0)</f>
        <v>2</v>
      </c>
      <c r="I199" s="1043" t="s">
        <v>945</v>
      </c>
      <c r="T199" s="981"/>
      <c r="U199" s="981"/>
      <c r="V199" s="981"/>
      <c r="W199" s="1044"/>
    </row>
    <row r="200" spans="1:23" x14ac:dyDescent="0.25">
      <c r="A200" s="96" t="s">
        <v>896</v>
      </c>
      <c r="B200" s="166" t="s">
        <v>694</v>
      </c>
      <c r="C200" s="917" t="s">
        <v>899</v>
      </c>
      <c r="H200" s="1038">
        <f>IF(H198=3,1,0)</f>
        <v>1</v>
      </c>
      <c r="I200" s="1043" t="s">
        <v>945</v>
      </c>
      <c r="T200" s="981"/>
      <c r="U200" s="981"/>
      <c r="V200" s="981"/>
      <c r="W200" s="1044"/>
    </row>
    <row r="201" spans="1:23" x14ac:dyDescent="0.25">
      <c r="A201" s="137" t="s">
        <v>185</v>
      </c>
      <c r="B201" s="834" t="s">
        <v>185</v>
      </c>
      <c r="C201" s="832" t="s">
        <v>472</v>
      </c>
      <c r="H201" s="1040">
        <f t="shared" ref="H201:H241" si="10">SUMIF($R$7:$R$182,A201,$U$7:$U$182)</f>
        <v>0</v>
      </c>
      <c r="I201" s="1043" t="s">
        <v>945</v>
      </c>
      <c r="T201" s="981"/>
      <c r="U201" s="981"/>
      <c r="V201" s="981"/>
      <c r="W201" s="1044"/>
    </row>
    <row r="202" spans="1:23" x14ac:dyDescent="0.25">
      <c r="A202" s="96" t="s">
        <v>818</v>
      </c>
      <c r="B202" s="166" t="s">
        <v>692</v>
      </c>
      <c r="C202" s="917" t="s">
        <v>900</v>
      </c>
      <c r="H202" s="1038">
        <f t="shared" si="10"/>
        <v>2</v>
      </c>
      <c r="I202" s="1043" t="s">
        <v>945</v>
      </c>
      <c r="T202" s="981"/>
      <c r="U202" s="981"/>
      <c r="V202" s="981"/>
      <c r="W202" s="1044"/>
    </row>
    <row r="203" spans="1:23" x14ac:dyDescent="0.25">
      <c r="A203" s="96" t="s">
        <v>819</v>
      </c>
      <c r="B203" s="166" t="s">
        <v>695</v>
      </c>
      <c r="C203" s="917" t="s">
        <v>901</v>
      </c>
      <c r="H203" s="1038">
        <f>H202</f>
        <v>2</v>
      </c>
      <c r="I203" s="1043" t="s">
        <v>945</v>
      </c>
      <c r="T203" s="981"/>
      <c r="U203" s="981"/>
      <c r="V203" s="981"/>
      <c r="W203" s="1044"/>
    </row>
    <row r="204" spans="1:23" x14ac:dyDescent="0.25">
      <c r="A204" s="96"/>
      <c r="B204" s="701" t="s">
        <v>186</v>
      </c>
      <c r="C204" s="700"/>
      <c r="H204" s="1041">
        <f t="shared" si="10"/>
        <v>0</v>
      </c>
      <c r="I204" s="1043" t="s">
        <v>945</v>
      </c>
      <c r="T204" s="981"/>
      <c r="U204" s="981"/>
      <c r="V204" s="981"/>
      <c r="W204" s="1044"/>
    </row>
    <row r="205" spans="1:23" x14ac:dyDescent="0.25">
      <c r="A205" s="137" t="s">
        <v>187</v>
      </c>
      <c r="B205" s="834" t="s">
        <v>187</v>
      </c>
      <c r="C205" s="832" t="s">
        <v>164</v>
      </c>
      <c r="H205" s="1040">
        <f t="shared" si="10"/>
        <v>0</v>
      </c>
      <c r="I205" s="1043" t="s">
        <v>945</v>
      </c>
      <c r="T205" s="981"/>
      <c r="U205" s="981"/>
      <c r="V205" s="981"/>
      <c r="W205" s="1044"/>
    </row>
    <row r="206" spans="1:23" x14ac:dyDescent="0.25">
      <c r="A206" s="96" t="s">
        <v>820</v>
      </c>
      <c r="B206" s="166" t="s">
        <v>692</v>
      </c>
      <c r="C206" s="917" t="s">
        <v>903</v>
      </c>
      <c r="H206" s="1038">
        <f t="shared" si="10"/>
        <v>1</v>
      </c>
      <c r="I206" s="1043" t="s">
        <v>945</v>
      </c>
      <c r="T206" s="981"/>
      <c r="U206" s="981"/>
      <c r="V206" s="981"/>
      <c r="W206" s="1044"/>
    </row>
    <row r="207" spans="1:23" x14ac:dyDescent="0.25">
      <c r="A207" s="96" t="s">
        <v>821</v>
      </c>
      <c r="B207" s="166" t="s">
        <v>695</v>
      </c>
      <c r="C207" s="917" t="s">
        <v>904</v>
      </c>
      <c r="H207" s="1038">
        <f>H206</f>
        <v>1</v>
      </c>
      <c r="I207" s="1043" t="s">
        <v>945</v>
      </c>
      <c r="T207" s="981"/>
      <c r="U207" s="981"/>
      <c r="V207" s="981"/>
      <c r="W207" s="1044"/>
    </row>
    <row r="208" spans="1:23" x14ac:dyDescent="0.25">
      <c r="A208" s="137" t="s">
        <v>188</v>
      </c>
      <c r="B208" s="834" t="s">
        <v>188</v>
      </c>
      <c r="C208" s="832" t="s">
        <v>907</v>
      </c>
      <c r="H208" s="1040">
        <f t="shared" si="10"/>
        <v>0</v>
      </c>
      <c r="I208" s="1043" t="s">
        <v>945</v>
      </c>
      <c r="T208" s="981"/>
      <c r="U208" s="981"/>
      <c r="V208" s="981"/>
      <c r="W208" s="1044"/>
    </row>
    <row r="209" spans="1:23" x14ac:dyDescent="0.25">
      <c r="A209" s="96" t="s">
        <v>822</v>
      </c>
      <c r="B209" s="166" t="s">
        <v>692</v>
      </c>
      <c r="C209" s="917" t="s">
        <v>905</v>
      </c>
      <c r="H209" s="1038">
        <f t="shared" si="10"/>
        <v>1</v>
      </c>
      <c r="I209" s="1043" t="s">
        <v>945</v>
      </c>
      <c r="T209" s="981"/>
      <c r="U209" s="981"/>
      <c r="V209" s="981"/>
      <c r="W209" s="1044"/>
    </row>
    <row r="210" spans="1:23" ht="15.75" thickBot="1" x14ac:dyDescent="0.3">
      <c r="A210" s="96" t="s">
        <v>823</v>
      </c>
      <c r="B210" s="229" t="s">
        <v>695</v>
      </c>
      <c r="C210" s="917" t="s">
        <v>906</v>
      </c>
      <c r="H210" s="1038">
        <f>H209</f>
        <v>1</v>
      </c>
      <c r="I210" s="1043" t="s">
        <v>945</v>
      </c>
      <c r="T210" s="981"/>
      <c r="U210" s="981"/>
      <c r="V210" s="981"/>
      <c r="W210" s="1044"/>
    </row>
    <row r="211" spans="1:23" ht="15.75" thickBot="1" x14ac:dyDescent="0.3">
      <c r="A211" s="96" t="s">
        <v>889</v>
      </c>
      <c r="B211" s="711"/>
      <c r="C211" s="710" t="s">
        <v>213</v>
      </c>
      <c r="H211" s="226">
        <f t="shared" si="10"/>
        <v>0</v>
      </c>
      <c r="T211" s="981"/>
      <c r="U211" s="981"/>
      <c r="V211" s="981"/>
      <c r="W211" s="1044"/>
    </row>
    <row r="212" spans="1:23" ht="15.75" thickBot="1" x14ac:dyDescent="0.3">
      <c r="A212" s="96"/>
      <c r="B212" s="96"/>
      <c r="C212" s="96"/>
      <c r="H212" s="96">
        <f t="shared" si="10"/>
        <v>0</v>
      </c>
      <c r="T212" s="981"/>
      <c r="U212" s="981"/>
      <c r="V212" s="981"/>
      <c r="W212" s="1044"/>
    </row>
    <row r="213" spans="1:23" ht="15.75" thickBot="1" x14ac:dyDescent="0.3">
      <c r="A213" s="96"/>
      <c r="B213" s="151"/>
      <c r="C213" s="152" t="s">
        <v>225</v>
      </c>
      <c r="H213" s="138">
        <f t="shared" si="10"/>
        <v>0</v>
      </c>
      <c r="T213" s="981"/>
      <c r="U213" s="981"/>
      <c r="V213" s="981"/>
      <c r="W213" s="1044"/>
    </row>
    <row r="214" spans="1:23" x14ac:dyDescent="0.25">
      <c r="A214" s="130" t="s">
        <v>189</v>
      </c>
      <c r="B214" s="313" t="s">
        <v>189</v>
      </c>
      <c r="C214" s="177" t="s">
        <v>925</v>
      </c>
      <c r="H214" s="212">
        <f t="shared" si="10"/>
        <v>1</v>
      </c>
      <c r="T214" s="981"/>
      <c r="U214" s="981"/>
      <c r="V214" s="981"/>
      <c r="W214" s="1044"/>
    </row>
    <row r="215" spans="1:23" x14ac:dyDescent="0.25">
      <c r="A215" s="130" t="s">
        <v>190</v>
      </c>
      <c r="B215" s="166" t="s">
        <v>190</v>
      </c>
      <c r="C215" s="167" t="s">
        <v>926</v>
      </c>
      <c r="H215" s="221">
        <f t="shared" si="10"/>
        <v>0</v>
      </c>
      <c r="T215" s="981"/>
      <c r="U215" s="981"/>
      <c r="V215" s="981"/>
      <c r="W215" s="1044"/>
    </row>
    <row r="216" spans="1:23" x14ac:dyDescent="0.25">
      <c r="A216" s="130" t="s">
        <v>191</v>
      </c>
      <c r="B216" s="166" t="s">
        <v>191</v>
      </c>
      <c r="C216" s="167" t="s">
        <v>927</v>
      </c>
      <c r="H216" s="221">
        <f t="shared" si="10"/>
        <v>1</v>
      </c>
      <c r="T216" s="981"/>
      <c r="U216" s="981"/>
      <c r="V216" s="981"/>
      <c r="W216" s="1044"/>
    </row>
    <row r="217" spans="1:23" x14ac:dyDescent="0.25">
      <c r="A217" s="130" t="s">
        <v>192</v>
      </c>
      <c r="B217" s="166" t="s">
        <v>192</v>
      </c>
      <c r="C217" s="167" t="s">
        <v>928</v>
      </c>
      <c r="H217" s="221">
        <f t="shared" si="10"/>
        <v>1</v>
      </c>
      <c r="T217" s="981"/>
      <c r="U217" s="981"/>
      <c r="V217" s="981"/>
      <c r="W217" s="1044"/>
    </row>
    <row r="218" spans="1:23" x14ac:dyDescent="0.25">
      <c r="A218" s="130" t="s">
        <v>193</v>
      </c>
      <c r="B218" s="166" t="s">
        <v>193</v>
      </c>
      <c r="C218" s="167" t="s">
        <v>929</v>
      </c>
      <c r="H218" s="221">
        <f t="shared" si="10"/>
        <v>4</v>
      </c>
      <c r="T218" s="981"/>
      <c r="U218" s="981"/>
      <c r="V218" s="981"/>
      <c r="W218" s="1044"/>
    </row>
    <row r="219" spans="1:23" x14ac:dyDescent="0.25">
      <c r="A219" s="130" t="s">
        <v>194</v>
      </c>
      <c r="B219" s="166" t="s">
        <v>194</v>
      </c>
      <c r="C219" s="167" t="s">
        <v>930</v>
      </c>
      <c r="H219" s="221">
        <f t="shared" si="10"/>
        <v>1</v>
      </c>
      <c r="T219" s="981"/>
      <c r="U219" s="981"/>
      <c r="V219" s="981"/>
      <c r="W219" s="981"/>
    </row>
    <row r="220" spans="1:23" x14ac:dyDescent="0.25">
      <c r="A220" s="130" t="s">
        <v>195</v>
      </c>
      <c r="B220" s="166" t="s">
        <v>195</v>
      </c>
      <c r="C220" s="167" t="s">
        <v>931</v>
      </c>
      <c r="H220" s="221">
        <f t="shared" si="10"/>
        <v>1</v>
      </c>
      <c r="T220" s="981"/>
      <c r="U220" s="981"/>
      <c r="V220" s="981"/>
      <c r="W220" s="981"/>
    </row>
    <row r="221" spans="1:23" x14ac:dyDescent="0.25">
      <c r="A221" s="130" t="s">
        <v>223</v>
      </c>
      <c r="B221" s="166" t="s">
        <v>223</v>
      </c>
      <c r="C221" s="167" t="s">
        <v>932</v>
      </c>
      <c r="H221" s="221">
        <f t="shared" si="10"/>
        <v>1</v>
      </c>
      <c r="T221" s="981"/>
      <c r="U221" s="981"/>
      <c r="V221" s="981"/>
      <c r="W221" s="981"/>
    </row>
    <row r="222" spans="1:23" x14ac:dyDescent="0.25">
      <c r="A222" s="130" t="s">
        <v>253</v>
      </c>
      <c r="B222" s="166" t="s">
        <v>253</v>
      </c>
      <c r="C222" s="167" t="s">
        <v>933</v>
      </c>
      <c r="H222" s="221">
        <f t="shared" si="10"/>
        <v>1</v>
      </c>
      <c r="T222" s="981"/>
      <c r="U222" s="981"/>
      <c r="V222" s="981"/>
      <c r="W222" s="981"/>
    </row>
    <row r="223" spans="1:23" x14ac:dyDescent="0.25">
      <c r="A223" s="130" t="s">
        <v>473</v>
      </c>
      <c r="B223" s="222" t="s">
        <v>473</v>
      </c>
      <c r="C223" s="189" t="s">
        <v>934</v>
      </c>
      <c r="H223" s="221">
        <f t="shared" si="10"/>
        <v>1</v>
      </c>
      <c r="T223" s="981"/>
      <c r="U223" s="981"/>
      <c r="V223" s="981"/>
      <c r="W223" s="981"/>
    </row>
    <row r="224" spans="1:23" x14ac:dyDescent="0.25">
      <c r="A224" s="130" t="s">
        <v>474</v>
      </c>
      <c r="B224" s="222" t="s">
        <v>474</v>
      </c>
      <c r="C224" s="189" t="s">
        <v>935</v>
      </c>
      <c r="H224" s="221">
        <f t="shared" si="10"/>
        <v>1</v>
      </c>
      <c r="T224" s="981"/>
      <c r="U224" s="981"/>
      <c r="V224" s="981"/>
      <c r="W224" s="981"/>
    </row>
    <row r="225" spans="1:23" x14ac:dyDescent="0.25">
      <c r="A225" s="130" t="s">
        <v>475</v>
      </c>
      <c r="B225" s="222" t="s">
        <v>475</v>
      </c>
      <c r="C225" s="189" t="s">
        <v>936</v>
      </c>
      <c r="H225" s="221">
        <f t="shared" si="10"/>
        <v>1</v>
      </c>
      <c r="T225" s="981"/>
      <c r="U225" s="981"/>
      <c r="V225" s="981"/>
      <c r="W225" s="981"/>
    </row>
    <row r="226" spans="1:23" x14ac:dyDescent="0.25">
      <c r="A226" s="130" t="s">
        <v>476</v>
      </c>
      <c r="B226" s="222" t="s">
        <v>476</v>
      </c>
      <c r="C226" s="189" t="s">
        <v>937</v>
      </c>
      <c r="H226" s="221">
        <f t="shared" si="10"/>
        <v>1</v>
      </c>
      <c r="T226" s="981"/>
      <c r="U226" s="981"/>
      <c r="V226" s="981"/>
      <c r="W226" s="981"/>
    </row>
    <row r="227" spans="1:23" ht="15.75" thickBot="1" x14ac:dyDescent="0.3">
      <c r="A227" s="130" t="s">
        <v>697</v>
      </c>
      <c r="B227" s="719" t="s">
        <v>697</v>
      </c>
      <c r="C227" s="196" t="s">
        <v>938</v>
      </c>
      <c r="H227" s="854">
        <f t="shared" si="10"/>
        <v>1</v>
      </c>
      <c r="T227" s="981"/>
      <c r="U227" s="981"/>
      <c r="V227" s="981"/>
      <c r="W227" s="981"/>
    </row>
    <row r="228" spans="1:23" ht="15.75" thickBot="1" x14ac:dyDescent="0.3">
      <c r="A228" s="130" t="s">
        <v>890</v>
      </c>
      <c r="B228" s="711" t="s">
        <v>213</v>
      </c>
      <c r="C228" s="710"/>
      <c r="H228" s="226">
        <f t="shared" si="10"/>
        <v>0</v>
      </c>
      <c r="T228" s="981"/>
      <c r="U228" s="981"/>
      <c r="V228" s="981"/>
      <c r="W228" s="981"/>
    </row>
    <row r="229" spans="1:23" ht="15.75" thickBot="1" x14ac:dyDescent="0.3">
      <c r="A229" s="96"/>
      <c r="B229" s="96"/>
      <c r="C229" s="96"/>
      <c r="H229" s="96">
        <f t="shared" si="10"/>
        <v>0</v>
      </c>
      <c r="T229" s="981"/>
      <c r="U229" s="981"/>
      <c r="V229" s="981"/>
      <c r="W229" s="981"/>
    </row>
    <row r="230" spans="1:23" ht="15.75" thickBot="1" x14ac:dyDescent="0.3">
      <c r="A230" s="96"/>
      <c r="B230" s="151"/>
      <c r="C230" s="152" t="s">
        <v>232</v>
      </c>
      <c r="H230" s="138">
        <f t="shared" si="10"/>
        <v>0</v>
      </c>
      <c r="T230" s="981"/>
      <c r="U230" s="981"/>
      <c r="V230" s="981"/>
      <c r="W230" s="981"/>
    </row>
    <row r="231" spans="1:23" x14ac:dyDescent="0.25">
      <c r="A231" s="96" t="s">
        <v>732</v>
      </c>
      <c r="B231" s="732" t="s">
        <v>732</v>
      </c>
      <c r="C231" s="973" t="s">
        <v>607</v>
      </c>
      <c r="H231" s="212">
        <f t="shared" si="10"/>
        <v>0</v>
      </c>
      <c r="T231" s="981"/>
      <c r="U231" s="981"/>
      <c r="V231" s="981"/>
      <c r="W231" s="981"/>
    </row>
    <row r="232" spans="1:23" x14ac:dyDescent="0.25">
      <c r="A232" s="96" t="s">
        <v>739</v>
      </c>
      <c r="B232" s="222" t="s">
        <v>739</v>
      </c>
      <c r="C232" s="977" t="s">
        <v>614</v>
      </c>
      <c r="H232" s="221">
        <f t="shared" si="10"/>
        <v>0</v>
      </c>
      <c r="T232" s="981"/>
      <c r="U232" s="981"/>
      <c r="V232" s="981"/>
      <c r="W232" s="981"/>
    </row>
    <row r="233" spans="1:23" x14ac:dyDescent="0.25">
      <c r="A233" s="96" t="s">
        <v>769</v>
      </c>
      <c r="B233" s="728" t="s">
        <v>769</v>
      </c>
      <c r="C233" s="971" t="s">
        <v>645</v>
      </c>
      <c r="H233" s="221">
        <f t="shared" si="10"/>
        <v>0</v>
      </c>
      <c r="T233" s="981"/>
      <c r="U233" s="981"/>
      <c r="V233" s="981"/>
      <c r="W233" s="981"/>
    </row>
    <row r="234" spans="1:23" x14ac:dyDescent="0.25">
      <c r="A234" s="96" t="s">
        <v>772</v>
      </c>
      <c r="B234" s="728" t="s">
        <v>772</v>
      </c>
      <c r="C234" s="972" t="s">
        <v>648</v>
      </c>
      <c r="H234" s="221">
        <f t="shared" si="10"/>
        <v>0</v>
      </c>
      <c r="T234" s="981"/>
      <c r="U234" s="981"/>
      <c r="V234" s="981"/>
      <c r="W234" s="981"/>
    </row>
    <row r="235" spans="1:23" x14ac:dyDescent="0.25">
      <c r="A235" s="96" t="s">
        <v>775</v>
      </c>
      <c r="B235" s="728" t="s">
        <v>775</v>
      </c>
      <c r="C235" s="972" t="s">
        <v>651</v>
      </c>
      <c r="H235" s="221">
        <f t="shared" si="10"/>
        <v>0</v>
      </c>
      <c r="T235" s="981"/>
      <c r="U235" s="981"/>
      <c r="V235" s="981"/>
      <c r="W235" s="981"/>
    </row>
    <row r="236" spans="1:23" x14ac:dyDescent="0.25">
      <c r="A236" s="96" t="s">
        <v>778</v>
      </c>
      <c r="B236" s="728" t="s">
        <v>778</v>
      </c>
      <c r="C236" s="972" t="s">
        <v>654</v>
      </c>
      <c r="H236" s="221">
        <f t="shared" si="10"/>
        <v>0</v>
      </c>
      <c r="T236" s="981"/>
      <c r="U236" s="981"/>
      <c r="V236" s="981"/>
      <c r="W236" s="981"/>
    </row>
    <row r="237" spans="1:23" x14ac:dyDescent="0.25">
      <c r="A237" s="96" t="s">
        <v>797</v>
      </c>
      <c r="B237" s="728" t="s">
        <v>797</v>
      </c>
      <c r="C237" s="972" t="s">
        <v>671</v>
      </c>
      <c r="H237" s="221">
        <f t="shared" si="10"/>
        <v>0</v>
      </c>
      <c r="T237" s="981"/>
      <c r="U237" s="981"/>
      <c r="V237" s="981"/>
      <c r="W237" s="981"/>
    </row>
    <row r="238" spans="1:23" x14ac:dyDescent="0.25">
      <c r="A238" s="96" t="s">
        <v>800</v>
      </c>
      <c r="B238" s="728" t="s">
        <v>800</v>
      </c>
      <c r="C238" s="972" t="s">
        <v>674</v>
      </c>
      <c r="H238" s="221">
        <f t="shared" si="10"/>
        <v>0</v>
      </c>
      <c r="T238" s="981"/>
      <c r="U238" s="981"/>
      <c r="V238" s="981"/>
      <c r="W238" s="981"/>
    </row>
    <row r="239" spans="1:23" x14ac:dyDescent="0.25">
      <c r="A239" s="96" t="s">
        <v>803</v>
      </c>
      <c r="B239" s="728" t="s">
        <v>803</v>
      </c>
      <c r="C239" s="972" t="s">
        <v>677</v>
      </c>
      <c r="H239" s="221">
        <f t="shared" si="10"/>
        <v>0</v>
      </c>
      <c r="T239" s="981"/>
      <c r="U239" s="981"/>
      <c r="V239" s="981"/>
      <c r="W239" s="981"/>
    </row>
    <row r="240" spans="1:23" x14ac:dyDescent="0.25">
      <c r="A240" s="96" t="s">
        <v>806</v>
      </c>
      <c r="B240" s="728" t="s">
        <v>806</v>
      </c>
      <c r="C240" s="972" t="s">
        <v>680</v>
      </c>
      <c r="H240" s="221">
        <f t="shared" si="10"/>
        <v>0</v>
      </c>
      <c r="T240" s="981"/>
      <c r="U240" s="981"/>
      <c r="V240" s="981"/>
      <c r="W240" s="981"/>
    </row>
    <row r="241" spans="1:23" x14ac:dyDescent="0.25">
      <c r="A241" s="96" t="s">
        <v>761</v>
      </c>
      <c r="B241" s="728" t="s">
        <v>761</v>
      </c>
      <c r="C241" s="972" t="s">
        <v>638</v>
      </c>
      <c r="H241" s="221">
        <f t="shared" si="10"/>
        <v>0</v>
      </c>
      <c r="T241" s="981"/>
      <c r="U241" s="981"/>
      <c r="V241" s="981"/>
      <c r="W241" s="981"/>
    </row>
    <row r="242" spans="1:23" x14ac:dyDescent="0.25">
      <c r="A242" s="96" t="s">
        <v>810</v>
      </c>
      <c r="B242" s="731" t="s">
        <v>810</v>
      </c>
      <c r="C242" s="972" t="s">
        <v>684</v>
      </c>
      <c r="H242" s="221"/>
      <c r="T242" s="981"/>
      <c r="U242" s="981"/>
      <c r="V242" s="981"/>
      <c r="W242" s="981"/>
    </row>
    <row r="243" spans="1:23" x14ac:dyDescent="0.25">
      <c r="A243" s="96" t="s">
        <v>812</v>
      </c>
      <c r="B243" s="731" t="s">
        <v>812</v>
      </c>
      <c r="C243" s="972" t="s">
        <v>686</v>
      </c>
      <c r="H243" s="221"/>
      <c r="T243" s="981"/>
      <c r="U243" s="981"/>
      <c r="V243" s="981"/>
      <c r="W243" s="981"/>
    </row>
    <row r="244" spans="1:23" x14ac:dyDescent="0.25">
      <c r="A244" s="96" t="s">
        <v>895</v>
      </c>
      <c r="B244" s="731" t="s">
        <v>895</v>
      </c>
      <c r="C244" s="1014" t="s">
        <v>897</v>
      </c>
      <c r="H244" s="221"/>
      <c r="T244" s="981"/>
      <c r="U244" s="981"/>
      <c r="V244" s="981"/>
      <c r="W244" s="981"/>
    </row>
    <row r="245" spans="1:23" x14ac:dyDescent="0.25">
      <c r="A245" s="96"/>
      <c r="B245" s="731"/>
      <c r="C245" s="972"/>
      <c r="H245" s="221"/>
      <c r="T245" s="981"/>
      <c r="U245" s="981"/>
      <c r="V245" s="981"/>
      <c r="W245" s="981"/>
    </row>
    <row r="246" spans="1:23" ht="15.75" thickBot="1" x14ac:dyDescent="0.3">
      <c r="A246" s="96"/>
      <c r="B246" s="194"/>
      <c r="C246" s="196"/>
      <c r="H246" s="221"/>
      <c r="T246" s="981"/>
      <c r="U246" s="981"/>
      <c r="V246" s="981"/>
      <c r="W246" s="981"/>
    </row>
    <row r="247" spans="1:23" x14ac:dyDescent="0.25">
      <c r="A247" s="96"/>
      <c r="B247" s="96"/>
      <c r="C247" s="96"/>
      <c r="H247" s="96"/>
      <c r="T247" s="981"/>
      <c r="U247" s="981"/>
      <c r="V247" s="981"/>
      <c r="W247" s="981"/>
    </row>
    <row r="248" spans="1:23" x14ac:dyDescent="0.25">
      <c r="H248" s="96"/>
      <c r="T248" s="981"/>
      <c r="U248" s="981"/>
      <c r="V248" s="981"/>
      <c r="W248" s="981"/>
    </row>
    <row r="249" spans="1:23" x14ac:dyDescent="0.25">
      <c r="H249" s="96"/>
      <c r="T249" s="981"/>
      <c r="U249" s="981"/>
      <c r="V249" s="981"/>
      <c r="W249" s="981"/>
    </row>
    <row r="250" spans="1:23" x14ac:dyDescent="0.25">
      <c r="H250" s="96"/>
      <c r="T250" s="981"/>
      <c r="U250" s="981"/>
      <c r="V250" s="981"/>
      <c r="W250" s="981"/>
    </row>
    <row r="251" spans="1:23" x14ac:dyDescent="0.25">
      <c r="H251" s="96"/>
      <c r="T251" s="981"/>
      <c r="U251" s="981"/>
      <c r="V251" s="981"/>
      <c r="W251" s="981"/>
    </row>
    <row r="252" spans="1:23" x14ac:dyDescent="0.25">
      <c r="H252" s="96"/>
      <c r="T252" s="981"/>
      <c r="U252" s="981"/>
      <c r="V252" s="981"/>
      <c r="W252" s="981"/>
    </row>
    <row r="253" spans="1:23" x14ac:dyDescent="0.25">
      <c r="H253" s="96"/>
      <c r="T253" s="981"/>
      <c r="U253" s="981"/>
      <c r="V253" s="981"/>
      <c r="W253" s="981"/>
    </row>
    <row r="254" spans="1:23" x14ac:dyDescent="0.25">
      <c r="H254" s="96"/>
      <c r="T254" s="981"/>
      <c r="U254" s="981"/>
      <c r="V254" s="981"/>
      <c r="W254" s="981"/>
    </row>
    <row r="255" spans="1:23" x14ac:dyDescent="0.25">
      <c r="H255" s="96"/>
      <c r="T255" s="981"/>
      <c r="U255" s="981"/>
      <c r="V255" s="981"/>
      <c r="W255" s="981"/>
    </row>
    <row r="256" spans="1:23" x14ac:dyDescent="0.25">
      <c r="H256" s="96"/>
      <c r="T256" s="981"/>
      <c r="U256" s="981"/>
      <c r="V256" s="981"/>
      <c r="W256" s="981"/>
    </row>
    <row r="257" spans="8:23" x14ac:dyDescent="0.25">
      <c r="H257" s="96"/>
      <c r="T257" s="981"/>
      <c r="U257" s="981"/>
      <c r="V257" s="981"/>
      <c r="W257" s="981"/>
    </row>
    <row r="258" spans="8:23" x14ac:dyDescent="0.25">
      <c r="H258" s="96"/>
      <c r="T258" s="981"/>
      <c r="U258" s="981"/>
      <c r="V258" s="981"/>
      <c r="W258" s="981"/>
    </row>
    <row r="259" spans="8:23" x14ac:dyDescent="0.25">
      <c r="H259" s="96"/>
      <c r="T259" s="981"/>
      <c r="U259" s="981"/>
      <c r="V259" s="981"/>
      <c r="W259" s="981"/>
    </row>
    <row r="260" spans="8:23" x14ac:dyDescent="0.25">
      <c r="H260" s="96"/>
      <c r="T260" s="981"/>
      <c r="U260" s="981"/>
      <c r="V260" s="981"/>
      <c r="W260" s="981"/>
    </row>
    <row r="261" spans="8:23" x14ac:dyDescent="0.25">
      <c r="H261" s="96"/>
      <c r="T261" s="981"/>
      <c r="U261" s="981"/>
      <c r="V261" s="981"/>
      <c r="W261" s="981"/>
    </row>
    <row r="262" spans="8:23" x14ac:dyDescent="0.25">
      <c r="H262" s="96"/>
      <c r="T262" s="981"/>
      <c r="U262" s="981"/>
      <c r="V262" s="981"/>
      <c r="W262" s="981"/>
    </row>
    <row r="263" spans="8:23" x14ac:dyDescent="0.25">
      <c r="H263" s="96"/>
      <c r="T263" s="981"/>
      <c r="U263" s="981"/>
      <c r="V263" s="981"/>
      <c r="W263" s="981"/>
    </row>
    <row r="264" spans="8:23" x14ac:dyDescent="0.25">
      <c r="H264" s="96"/>
      <c r="T264" s="981"/>
      <c r="U264" s="981"/>
      <c r="V264" s="981"/>
      <c r="W264" s="981"/>
    </row>
    <row r="265" spans="8:23" x14ac:dyDescent="0.25">
      <c r="H265" s="96"/>
      <c r="T265" s="981"/>
      <c r="U265" s="981"/>
      <c r="V265" s="981"/>
      <c r="W265" s="981"/>
    </row>
    <row r="266" spans="8:23" x14ac:dyDescent="0.25">
      <c r="H266" s="96"/>
      <c r="T266" s="981"/>
      <c r="U266" s="981"/>
      <c r="V266" s="981"/>
      <c r="W266" s="981"/>
    </row>
    <row r="267" spans="8:23" x14ac:dyDescent="0.25">
      <c r="H267" s="96"/>
      <c r="T267" s="981"/>
      <c r="U267" s="981"/>
      <c r="V267" s="981"/>
      <c r="W267" s="981"/>
    </row>
    <row r="268" spans="8:23" x14ac:dyDescent="0.25">
      <c r="H268" s="96"/>
      <c r="T268" s="981"/>
      <c r="U268" s="981"/>
      <c r="V268" s="981"/>
      <c r="W268" s="981"/>
    </row>
    <row r="269" spans="8:23" x14ac:dyDescent="0.25">
      <c r="H269" s="96"/>
      <c r="T269" s="981"/>
      <c r="U269" s="981"/>
      <c r="V269" s="981"/>
      <c r="W269" s="981"/>
    </row>
    <row r="270" spans="8:23" x14ac:dyDescent="0.25">
      <c r="H270" s="96"/>
      <c r="T270" s="981"/>
      <c r="U270" s="981"/>
      <c r="V270" s="981"/>
      <c r="W270" s="981"/>
    </row>
    <row r="271" spans="8:23" x14ac:dyDescent="0.25">
      <c r="H271" s="96"/>
      <c r="T271" s="981"/>
      <c r="U271" s="981"/>
      <c r="V271" s="981"/>
      <c r="W271" s="981"/>
    </row>
    <row r="272" spans="8:23" x14ac:dyDescent="0.25">
      <c r="H272" s="96"/>
    </row>
    <row r="273" spans="8:8" x14ac:dyDescent="0.25">
      <c r="H273" s="96"/>
    </row>
    <row r="274" spans="8:8" x14ac:dyDescent="0.25">
      <c r="H274" s="96"/>
    </row>
    <row r="275" spans="8:8" x14ac:dyDescent="0.25">
      <c r="H275" s="96"/>
    </row>
    <row r="276" spans="8:8" x14ac:dyDescent="0.25">
      <c r="H276" s="96"/>
    </row>
    <row r="277" spans="8:8" x14ac:dyDescent="0.25">
      <c r="H277" s="96"/>
    </row>
    <row r="278" spans="8:8" x14ac:dyDescent="0.25">
      <c r="H278" s="96"/>
    </row>
    <row r="279" spans="8:8" x14ac:dyDescent="0.25">
      <c r="H279" s="96"/>
    </row>
    <row r="280" spans="8:8" x14ac:dyDescent="0.25">
      <c r="H280" s="96"/>
    </row>
    <row r="281" spans="8:8" x14ac:dyDescent="0.25">
      <c r="H281" s="96"/>
    </row>
    <row r="282" spans="8:8" x14ac:dyDescent="0.25">
      <c r="H282" s="96"/>
    </row>
    <row r="283" spans="8:8" x14ac:dyDescent="0.25">
      <c r="H283" s="96"/>
    </row>
    <row r="284" spans="8:8" x14ac:dyDescent="0.25">
      <c r="H284" s="96"/>
    </row>
    <row r="285" spans="8:8" x14ac:dyDescent="0.25">
      <c r="H285" s="96"/>
    </row>
    <row r="286" spans="8:8" x14ac:dyDescent="0.25">
      <c r="H286" s="96"/>
    </row>
    <row r="287" spans="8:8" x14ac:dyDescent="0.25">
      <c r="H287" s="96"/>
    </row>
    <row r="288" spans="8:8" x14ac:dyDescent="0.25">
      <c r="H288" s="96"/>
    </row>
    <row r="289" spans="8:8" x14ac:dyDescent="0.25">
      <c r="H289" s="96"/>
    </row>
    <row r="290" spans="8:8" x14ac:dyDescent="0.25">
      <c r="H290" s="96"/>
    </row>
    <row r="291" spans="8:8" x14ac:dyDescent="0.25">
      <c r="H291" s="96"/>
    </row>
    <row r="292" spans="8:8" x14ac:dyDescent="0.25">
      <c r="H292" s="96"/>
    </row>
    <row r="293" spans="8:8" x14ac:dyDescent="0.25">
      <c r="H293" s="96"/>
    </row>
    <row r="294" spans="8:8" x14ac:dyDescent="0.25">
      <c r="H294" s="96"/>
    </row>
    <row r="295" spans="8:8" x14ac:dyDescent="0.25">
      <c r="H295" s="96"/>
    </row>
    <row r="296" spans="8:8" x14ac:dyDescent="0.25">
      <c r="H296" s="96"/>
    </row>
    <row r="297" spans="8:8" x14ac:dyDescent="0.25">
      <c r="H297" s="96"/>
    </row>
    <row r="298" spans="8:8" x14ac:dyDescent="0.25">
      <c r="H298" s="96"/>
    </row>
    <row r="299" spans="8:8" x14ac:dyDescent="0.25">
      <c r="H299" s="96"/>
    </row>
    <row r="300" spans="8:8" x14ac:dyDescent="0.25">
      <c r="H300" s="96"/>
    </row>
    <row r="301" spans="8:8" x14ac:dyDescent="0.25">
      <c r="H301" s="96"/>
    </row>
    <row r="302" spans="8:8" x14ac:dyDescent="0.25">
      <c r="H302" s="96"/>
    </row>
  </sheetData>
  <sheetProtection algorithmName="SHA-512" hashValue="g+u9/2Gt63YleHvakgQVqhTiUJIILcRraa1UaXYwssD1wlHDHVcdnA+TM6iaYtdUxaHkcXB8R5Ik5XhbEVmSBw==" saltValue="JDjAkv9tN/CmN1iIjbmsRA==" spinCount="100000" sheet="1" objects="1" scenarios="1"/>
  <protectedRanges>
    <protectedRange sqref="I2" name="Sortering"/>
  </protectedRanges>
  <mergeCells count="16">
    <mergeCell ref="S6:S11"/>
    <mergeCell ref="S73:S75"/>
    <mergeCell ref="S61:S63"/>
    <mergeCell ref="S64:S66"/>
    <mergeCell ref="N5:O5"/>
    <mergeCell ref="S39:S42"/>
    <mergeCell ref="S44:S46"/>
    <mergeCell ref="S50:S55"/>
    <mergeCell ref="S56:S59"/>
    <mergeCell ref="S67:S69"/>
    <mergeCell ref="S35:S38"/>
    <mergeCell ref="S29:S34"/>
    <mergeCell ref="S12:S14"/>
    <mergeCell ref="S15:S19"/>
    <mergeCell ref="S20:S23"/>
    <mergeCell ref="S24:S27"/>
  </mergeCells>
  <phoneticPr fontId="52" type="noConversion"/>
  <conditionalFormatting sqref="I2">
    <cfRule type="expression" dxfId="548" priority="5">
      <formula>$Z2=2</formula>
    </cfRule>
  </conditionalFormatting>
  <conditionalFormatting sqref="I2">
    <cfRule type="expression" dxfId="547" priority="165">
      <formula>I2&gt;#REF!</formula>
    </cfRule>
  </conditionalFormatting>
  <conditionalFormatting sqref="I78:I80 I82:I107 I7:I36 I38:I76">
    <cfRule type="expression" dxfId="546" priority="3">
      <formula>I7="FEIL"</formula>
    </cfRule>
  </conditionalFormatting>
  <conditionalFormatting sqref="I77">
    <cfRule type="expression" dxfId="545" priority="2">
      <formula>I77="FEIL"</formula>
    </cfRule>
  </conditionalFormatting>
  <conditionalFormatting sqref="I81">
    <cfRule type="expression" dxfId="544" priority="1">
      <formula>I81="FEIL"</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'Assessment Details'!$O$51:$O$52</xm:f>
          </x14:formula1>
          <xm:sqref>I2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L373"/>
  <sheetViews>
    <sheetView topLeftCell="A241" zoomScale="85" zoomScaleNormal="85" workbookViewId="0">
      <pane xSplit="5" topLeftCell="AU1" activePane="topRight" state="frozen"/>
      <selection activeCell="A142" sqref="A142"/>
      <selection pane="topRight" activeCell="BX271" sqref="BX271"/>
    </sheetView>
  </sheetViews>
  <sheetFormatPr defaultColWidth="9.140625" defaultRowHeight="15" x14ac:dyDescent="0.25"/>
  <cols>
    <col min="1" max="1" width="8.42578125" style="96" customWidth="1"/>
    <col min="2" max="3" width="10.7109375" style="96" customWidth="1"/>
    <col min="4" max="4" width="8.7109375" style="96" customWidth="1"/>
    <col min="5" max="5" width="60.85546875" style="96" customWidth="1"/>
    <col min="6" max="14" width="11.28515625" style="763" customWidth="1"/>
    <col min="15" max="15" width="11.5703125" style="763" customWidth="1"/>
    <col min="16" max="18" width="11.28515625" style="763" customWidth="1"/>
    <col min="19" max="19" width="11.5703125" style="96" customWidth="1"/>
    <col min="20" max="20" width="15.7109375" style="96" customWidth="1"/>
    <col min="21" max="21" width="7" style="96" customWidth="1"/>
    <col min="22" max="22" width="5.5703125" style="96" customWidth="1"/>
    <col min="23" max="23" width="6.5703125" style="96" customWidth="1"/>
    <col min="24" max="24" width="6.85546875" style="96" customWidth="1"/>
    <col min="25" max="25" width="9.42578125" style="96" customWidth="1"/>
    <col min="26" max="26" width="11.28515625" style="96" customWidth="1"/>
    <col min="27" max="27" width="5.7109375" style="96" customWidth="1"/>
    <col min="28" max="28" width="14" style="96" customWidth="1"/>
    <col min="29" max="29" width="6.85546875" style="96" customWidth="1"/>
    <col min="30" max="30" width="14.5703125" style="96" customWidth="1"/>
    <col min="31" max="33" width="17.5703125" style="96" customWidth="1"/>
    <col min="34" max="34" width="8.42578125" style="96" customWidth="1"/>
    <col min="35" max="35" width="14.42578125" style="96" customWidth="1"/>
    <col min="36" max="36" width="10.42578125" style="96" customWidth="1"/>
    <col min="37" max="37" width="9.5703125" style="96" customWidth="1"/>
    <col min="38" max="38" width="9.42578125" style="96" customWidth="1"/>
    <col min="39" max="43" width="4.28515625" style="96" customWidth="1"/>
    <col min="44" max="44" width="3.7109375" style="96" customWidth="1"/>
    <col min="45" max="49" width="4.28515625" style="96" customWidth="1"/>
    <col min="50" max="50" width="3.140625" style="96" customWidth="1"/>
    <col min="51" max="54" width="4" style="96" customWidth="1"/>
    <col min="55" max="55" width="4.28515625" style="96" customWidth="1"/>
    <col min="56" max="56" width="10.85546875" style="96" customWidth="1"/>
    <col min="57" max="57" width="26.7109375" style="96" customWidth="1"/>
    <col min="58" max="58" width="5.85546875" style="96" customWidth="1"/>
    <col min="59" max="59" width="6.7109375" style="96" customWidth="1"/>
    <col min="60" max="60" width="26.7109375" style="96" customWidth="1"/>
    <col min="61" max="61" width="6.5703125" style="96" customWidth="1"/>
    <col min="62" max="62" width="6.7109375" style="96" customWidth="1"/>
    <col min="63" max="63" width="26.7109375" style="96" customWidth="1"/>
    <col min="64" max="64" width="5.7109375" style="96" customWidth="1"/>
    <col min="65" max="65" width="9.140625" style="96" customWidth="1"/>
    <col min="66" max="66" width="4.42578125" style="96" customWidth="1"/>
    <col min="67" max="67" width="10.28515625" style="96" customWidth="1"/>
    <col min="68" max="68" width="13.28515625" style="96" customWidth="1"/>
    <col min="69" max="69" width="12.7109375" style="96" customWidth="1"/>
    <col min="70" max="70" width="10.140625" style="96" customWidth="1"/>
    <col min="71" max="71" width="9" style="96" customWidth="1"/>
    <col min="72" max="72" width="15.140625" style="96" bestFit="1" customWidth="1"/>
    <col min="73" max="73" width="9.140625" style="96" customWidth="1"/>
    <col min="74" max="74" width="10.140625" style="96" customWidth="1"/>
    <col min="75" max="75" width="9.140625" style="96"/>
    <col min="76" max="76" width="30.7109375" style="96" bestFit="1" customWidth="1"/>
    <col min="77" max="77" width="14.7109375" style="96" bestFit="1" customWidth="1"/>
    <col min="78" max="79" width="9.140625" style="96"/>
    <col min="80" max="80" width="20.85546875" style="96" bestFit="1" customWidth="1"/>
    <col min="81" max="81" width="11.28515625" style="96" bestFit="1" customWidth="1"/>
    <col min="82" max="82" width="8.7109375" style="96" bestFit="1" customWidth="1"/>
    <col min="83" max="83" width="12.7109375" style="96" bestFit="1" customWidth="1"/>
    <col min="84" max="84" width="9.140625" style="96"/>
    <col min="85" max="85" width="14.28515625" style="96" bestFit="1" customWidth="1"/>
    <col min="86" max="86" width="9.140625" style="96"/>
    <col min="87" max="87" width="12.28515625" style="96" customWidth="1"/>
    <col min="88" max="16384" width="9.140625" style="96"/>
  </cols>
  <sheetData>
    <row r="1" spans="1:90" x14ac:dyDescent="0.25">
      <c r="B1" s="667">
        <v>1</v>
      </c>
      <c r="C1" s="667">
        <v>2</v>
      </c>
      <c r="D1" s="667">
        <v>3</v>
      </c>
      <c r="E1" s="667">
        <v>4</v>
      </c>
      <c r="F1" s="667">
        <v>5</v>
      </c>
      <c r="G1" s="667">
        <v>6</v>
      </c>
      <c r="H1" s="667">
        <v>7</v>
      </c>
      <c r="I1" s="667">
        <v>8</v>
      </c>
      <c r="J1" s="667">
        <v>9</v>
      </c>
      <c r="K1" s="667">
        <v>10</v>
      </c>
      <c r="L1" s="667">
        <v>11</v>
      </c>
      <c r="M1" s="667">
        <v>12</v>
      </c>
      <c r="N1" s="667">
        <v>13</v>
      </c>
      <c r="O1" s="667">
        <v>14</v>
      </c>
      <c r="P1" s="667">
        <v>15</v>
      </c>
      <c r="Q1" s="667">
        <v>16</v>
      </c>
      <c r="R1" s="667">
        <v>17</v>
      </c>
      <c r="S1" s="667">
        <v>18</v>
      </c>
      <c r="T1" s="667">
        <v>19</v>
      </c>
      <c r="U1" s="667">
        <v>20</v>
      </c>
      <c r="V1" s="667">
        <v>21</v>
      </c>
      <c r="W1" s="667">
        <v>22</v>
      </c>
      <c r="X1" s="667">
        <v>23</v>
      </c>
      <c r="Y1" s="667">
        <v>24</v>
      </c>
      <c r="Z1" s="667">
        <v>25</v>
      </c>
      <c r="AA1" s="667">
        <v>26</v>
      </c>
      <c r="AB1" s="667">
        <v>27</v>
      </c>
      <c r="AC1" s="667">
        <v>28</v>
      </c>
      <c r="AD1" s="667">
        <v>29</v>
      </c>
      <c r="AE1" s="667">
        <v>30</v>
      </c>
      <c r="AF1" s="667">
        <v>31</v>
      </c>
      <c r="AG1" s="667">
        <v>32</v>
      </c>
      <c r="AH1" s="667">
        <v>33</v>
      </c>
      <c r="AI1" s="667">
        <v>34</v>
      </c>
      <c r="AJ1" s="667">
        <v>35</v>
      </c>
      <c r="AK1" s="667">
        <v>36</v>
      </c>
      <c r="AL1" s="667">
        <v>37</v>
      </c>
      <c r="AM1" s="667">
        <v>38</v>
      </c>
      <c r="AN1" s="667">
        <v>39</v>
      </c>
      <c r="AO1" s="667">
        <v>40</v>
      </c>
      <c r="AP1" s="667">
        <v>41</v>
      </c>
      <c r="AQ1" s="667">
        <v>42</v>
      </c>
      <c r="AR1" s="667">
        <v>43</v>
      </c>
      <c r="AS1" s="667">
        <v>44</v>
      </c>
      <c r="AT1" s="667">
        <v>45</v>
      </c>
      <c r="AU1" s="667">
        <v>46</v>
      </c>
      <c r="AV1" s="667">
        <v>47</v>
      </c>
      <c r="AW1" s="667">
        <v>48</v>
      </c>
      <c r="AX1" s="667">
        <v>49</v>
      </c>
      <c r="AY1" s="667">
        <v>50</v>
      </c>
      <c r="AZ1" s="667">
        <v>51</v>
      </c>
      <c r="BA1" s="667">
        <v>52</v>
      </c>
      <c r="BB1" s="667">
        <v>53</v>
      </c>
      <c r="BC1" s="667">
        <v>54</v>
      </c>
      <c r="BD1" s="667">
        <v>55</v>
      </c>
      <c r="BE1" s="667">
        <v>56</v>
      </c>
      <c r="BF1" s="667">
        <v>57</v>
      </c>
      <c r="BG1" s="667">
        <v>58</v>
      </c>
      <c r="BH1" s="667">
        <v>59</v>
      </c>
      <c r="BI1" s="667">
        <v>60</v>
      </c>
      <c r="BJ1" s="667">
        <v>61</v>
      </c>
      <c r="BK1" s="667">
        <v>62</v>
      </c>
      <c r="BL1" s="667">
        <v>63</v>
      </c>
      <c r="BM1" s="667">
        <v>64</v>
      </c>
      <c r="BN1" s="667">
        <v>65</v>
      </c>
      <c r="BO1" s="667">
        <v>66</v>
      </c>
      <c r="BP1" s="667">
        <v>67</v>
      </c>
      <c r="BQ1" s="667">
        <v>68</v>
      </c>
      <c r="BR1" s="667">
        <v>69</v>
      </c>
      <c r="BS1" s="667">
        <v>70</v>
      </c>
      <c r="BT1" s="667">
        <v>71</v>
      </c>
    </row>
    <row r="2" spans="1:90" x14ac:dyDescent="0.25">
      <c r="D2" s="96">
        <v>1</v>
      </c>
      <c r="E2" s="96">
        <v>2</v>
      </c>
      <c r="F2" s="763">
        <v>3</v>
      </c>
      <c r="G2" s="763">
        <v>4</v>
      </c>
      <c r="H2" s="763">
        <v>5</v>
      </c>
      <c r="I2" s="763">
        <v>6</v>
      </c>
      <c r="J2" s="763">
        <v>7</v>
      </c>
      <c r="K2" s="763">
        <v>8</v>
      </c>
      <c r="L2" s="763">
        <v>9</v>
      </c>
      <c r="M2" s="763">
        <v>10</v>
      </c>
      <c r="N2" s="763">
        <v>11</v>
      </c>
      <c r="O2" s="763">
        <v>12</v>
      </c>
      <c r="P2" s="763">
        <v>13</v>
      </c>
      <c r="Q2" s="763">
        <v>14</v>
      </c>
      <c r="R2" s="763">
        <v>15</v>
      </c>
      <c r="S2" s="763">
        <v>16</v>
      </c>
      <c r="T2" s="763">
        <v>17</v>
      </c>
      <c r="U2" s="763">
        <v>18</v>
      </c>
      <c r="V2" s="763">
        <v>19</v>
      </c>
      <c r="W2" s="763">
        <v>20</v>
      </c>
      <c r="X2" s="763">
        <v>21</v>
      </c>
      <c r="Y2" s="763">
        <v>22</v>
      </c>
      <c r="Z2" s="763">
        <v>23</v>
      </c>
      <c r="AA2" s="763">
        <v>24</v>
      </c>
      <c r="AB2" s="763">
        <v>25</v>
      </c>
      <c r="AC2" s="763">
        <v>26</v>
      </c>
      <c r="AD2" s="763">
        <v>27</v>
      </c>
      <c r="AE2" s="763">
        <v>28</v>
      </c>
      <c r="AF2" s="763">
        <v>29</v>
      </c>
      <c r="AG2" s="763">
        <v>30</v>
      </c>
      <c r="AH2" s="763">
        <v>31</v>
      </c>
      <c r="AI2" s="763">
        <v>32</v>
      </c>
      <c r="AJ2" s="763">
        <v>33</v>
      </c>
      <c r="AK2" s="763">
        <v>34</v>
      </c>
      <c r="AL2" s="763">
        <v>35</v>
      </c>
      <c r="AM2" s="763">
        <v>36</v>
      </c>
      <c r="AN2" s="763">
        <v>37</v>
      </c>
      <c r="AO2" s="763">
        <v>38</v>
      </c>
      <c r="AP2" s="763">
        <v>39</v>
      </c>
      <c r="AQ2" s="763">
        <v>40</v>
      </c>
      <c r="AR2" s="763">
        <v>41</v>
      </c>
      <c r="AS2" s="763">
        <v>42</v>
      </c>
      <c r="AT2" s="763">
        <v>43</v>
      </c>
      <c r="AU2" s="763">
        <v>44</v>
      </c>
      <c r="AV2" s="763">
        <v>45</v>
      </c>
      <c r="AW2" s="763">
        <v>46</v>
      </c>
      <c r="AX2" s="763">
        <v>47</v>
      </c>
      <c r="AY2" s="763">
        <v>48</v>
      </c>
      <c r="AZ2" s="763">
        <v>49</v>
      </c>
      <c r="BA2" s="763">
        <v>50</v>
      </c>
      <c r="BB2" s="763">
        <v>51</v>
      </c>
      <c r="BC2" s="763">
        <v>52</v>
      </c>
      <c r="BD2" s="763">
        <v>53</v>
      </c>
      <c r="BE2" s="763">
        <v>54</v>
      </c>
      <c r="BF2" s="763">
        <v>55</v>
      </c>
      <c r="BG2" s="763">
        <v>56</v>
      </c>
      <c r="BH2" s="763">
        <v>57</v>
      </c>
      <c r="BI2" s="763">
        <v>58</v>
      </c>
      <c r="BJ2" s="763">
        <v>59</v>
      </c>
      <c r="BK2" s="763">
        <v>60</v>
      </c>
      <c r="BL2" s="763">
        <v>61</v>
      </c>
    </row>
    <row r="3" spans="1:90" ht="15.75" thickBot="1" x14ac:dyDescent="0.3">
      <c r="A3" s="137" t="s">
        <v>86</v>
      </c>
      <c r="B3" s="137"/>
      <c r="C3" s="137"/>
      <c r="D3" s="137"/>
      <c r="E3" s="137"/>
      <c r="F3" s="764"/>
      <c r="G3" s="764"/>
      <c r="H3" s="764"/>
      <c r="I3" s="764"/>
      <c r="J3" s="764"/>
      <c r="K3" s="764"/>
      <c r="L3" s="764"/>
      <c r="M3" s="764"/>
      <c r="N3" s="764"/>
      <c r="O3" s="764"/>
      <c r="P3" s="764"/>
      <c r="Q3" s="764"/>
      <c r="R3" s="764"/>
      <c r="Y3" s="96" t="s">
        <v>35</v>
      </c>
    </row>
    <row r="4" spans="1:90" ht="15.75" thickBot="1" x14ac:dyDescent="0.3">
      <c r="G4" s="763" t="s">
        <v>403</v>
      </c>
      <c r="K4" s="1240" t="s">
        <v>1050</v>
      </c>
      <c r="Y4" s="137" t="str">
        <f>ADPT</f>
        <v>New Construction (fully fitted)</v>
      </c>
      <c r="BX4" s="678" t="s">
        <v>422</v>
      </c>
      <c r="BY4" s="679" t="s">
        <v>408</v>
      </c>
      <c r="CA4" s="673" t="s">
        <v>428</v>
      </c>
      <c r="CB4" s="96">
        <v>0</v>
      </c>
      <c r="CC4" s="96" t="s">
        <v>13</v>
      </c>
    </row>
    <row r="5" spans="1:90" ht="15.75" thickBot="1" x14ac:dyDescent="0.3">
      <c r="E5" s="138" t="s">
        <v>99</v>
      </c>
      <c r="G5" s="763" t="s">
        <v>404</v>
      </c>
      <c r="H5" s="765"/>
      <c r="K5" s="1242" t="s">
        <v>1051</v>
      </c>
      <c r="R5" s="766"/>
      <c r="Y5" s="96" t="str">
        <f>'Assessment Details'!Q12</f>
        <v>New Construction (shell and core)</v>
      </c>
      <c r="AB5" s="345" t="s">
        <v>334</v>
      </c>
      <c r="AC5" s="346" t="str">
        <f>'Manuell filtrering og justering'!I2</f>
        <v>No</v>
      </c>
      <c r="BX5" s="256" t="str">
        <f>'Pre-Assessment Estimator'!AJ4</f>
        <v>Nei</v>
      </c>
      <c r="BY5" s="241" t="str">
        <f>'Pre-Assessment Estimator'!AJ8</f>
        <v>Ja</v>
      </c>
      <c r="CA5" s="680" t="s">
        <v>430</v>
      </c>
      <c r="CB5" s="96">
        <v>1</v>
      </c>
    </row>
    <row r="6" spans="1:90" ht="15.75" thickBot="1" x14ac:dyDescent="0.3">
      <c r="E6" s="140" t="str">
        <f>ADBT0</f>
        <v>Office</v>
      </c>
      <c r="G6" s="763" t="s">
        <v>14</v>
      </c>
      <c r="K6" s="1244" t="s">
        <v>1052</v>
      </c>
      <c r="Y6" s="96" t="str">
        <f>ADPT02</f>
        <v>New Construction (shell only)</v>
      </c>
      <c r="BC6" s="141"/>
    </row>
    <row r="7" spans="1:90" ht="15.75" thickBot="1" x14ac:dyDescent="0.3">
      <c r="F7" s="952" t="s">
        <v>879</v>
      </c>
      <c r="K7" s="1246" t="s">
        <v>1053</v>
      </c>
      <c r="AE7" s="1358" t="s">
        <v>81</v>
      </c>
      <c r="AF7" s="1358"/>
      <c r="AG7" s="1358"/>
      <c r="BC7" s="141"/>
    </row>
    <row r="8" spans="1:90" ht="51" customHeight="1" thickBot="1" x14ac:dyDescent="0.3">
      <c r="D8" s="142" t="s">
        <v>98</v>
      </c>
      <c r="E8" s="143" t="s">
        <v>85</v>
      </c>
      <c r="F8" s="1362" t="s">
        <v>537</v>
      </c>
      <c r="G8" s="1363"/>
      <c r="H8" s="1363"/>
      <c r="I8" s="1363"/>
      <c r="J8" s="1363"/>
      <c r="K8" s="1363"/>
      <c r="L8" s="1363"/>
      <c r="M8" s="1363"/>
      <c r="N8" s="1363"/>
      <c r="O8" s="1363"/>
      <c r="P8" s="1363"/>
      <c r="Q8" s="1363"/>
      <c r="R8" s="1363"/>
      <c r="T8" s="57" t="s">
        <v>227</v>
      </c>
      <c r="U8" s="1364" t="s">
        <v>228</v>
      </c>
      <c r="V8" s="1365"/>
      <c r="W8" s="1365"/>
      <c r="X8" s="1365"/>
      <c r="Y8" s="1365"/>
      <c r="Z8" s="1366"/>
      <c r="AA8" s="144" t="s">
        <v>213</v>
      </c>
      <c r="AB8" s="59" t="s">
        <v>15</v>
      </c>
      <c r="AD8" s="926" t="s">
        <v>80</v>
      </c>
      <c r="AE8" s="927" t="s">
        <v>229</v>
      </c>
      <c r="AF8" s="927" t="s">
        <v>230</v>
      </c>
      <c r="AG8" s="927" t="s">
        <v>231</v>
      </c>
      <c r="AI8" s="59" t="s">
        <v>229</v>
      </c>
      <c r="AJ8" s="59" t="s">
        <v>230</v>
      </c>
      <c r="AK8" s="59" t="s">
        <v>231</v>
      </c>
      <c r="AM8" s="1367" t="s">
        <v>236</v>
      </c>
      <c r="AN8" s="1368"/>
      <c r="AO8" s="1368"/>
      <c r="AP8" s="1368"/>
      <c r="AQ8" s="1369"/>
      <c r="AS8" s="1367" t="s">
        <v>9</v>
      </c>
      <c r="AT8" s="1368"/>
      <c r="AU8" s="1368"/>
      <c r="AV8" s="1368"/>
      <c r="AW8" s="1369"/>
      <c r="AY8" s="1367" t="str">
        <f>"Chosen "&amp;E6</f>
        <v>Chosen Office</v>
      </c>
      <c r="AZ8" s="1368"/>
      <c r="BA8" s="1368"/>
      <c r="BB8" s="1368"/>
      <c r="BC8" s="1368"/>
      <c r="BD8" s="1349" t="s">
        <v>229</v>
      </c>
      <c r="BE8" s="1350"/>
      <c r="BF8" s="1350"/>
      <c r="BG8" s="1351" t="s">
        <v>230</v>
      </c>
      <c r="BH8" s="1347"/>
      <c r="BI8" s="1348"/>
      <c r="BJ8" s="1346" t="s">
        <v>231</v>
      </c>
      <c r="BK8" s="1347"/>
      <c r="BL8" s="1348"/>
      <c r="BO8" s="1343" t="s">
        <v>978</v>
      </c>
      <c r="BP8" s="1344"/>
      <c r="BQ8" s="1345"/>
      <c r="BR8" s="1143"/>
      <c r="BS8" s="1143"/>
      <c r="BT8" s="1143"/>
      <c r="BW8" s="251" t="s">
        <v>423</v>
      </c>
      <c r="BX8" s="251"/>
      <c r="BY8" s="251"/>
      <c r="BZ8" s="251"/>
      <c r="CA8" s="251"/>
      <c r="CB8" s="251"/>
      <c r="CC8" s="682" t="s">
        <v>433</v>
      </c>
      <c r="CD8" s="682" t="s">
        <v>435</v>
      </c>
      <c r="CE8" s="251" t="s">
        <v>432</v>
      </c>
      <c r="CF8" s="251"/>
      <c r="CG8" s="251"/>
      <c r="CH8" s="251"/>
      <c r="CI8" s="686" t="s">
        <v>457</v>
      </c>
      <c r="CJ8" s="251"/>
      <c r="CK8" s="251"/>
      <c r="CL8" s="251"/>
    </row>
    <row r="9" spans="1:90" ht="58.5" customHeight="1" thickBot="1" x14ac:dyDescent="0.3">
      <c r="A9" s="96">
        <v>1</v>
      </c>
      <c r="D9" s="151"/>
      <c r="E9" s="152" t="s">
        <v>61</v>
      </c>
      <c r="F9" s="1241" t="str">
        <f>ADBT2</f>
        <v>Office</v>
      </c>
      <c r="G9" s="1241" t="str">
        <f>ADBT3</f>
        <v>Retail</v>
      </c>
      <c r="H9" s="1245" t="str">
        <f>ADBT12</f>
        <v>Residential</v>
      </c>
      <c r="I9" s="1241" t="str">
        <f>ADBT1</f>
        <v>Industrial</v>
      </c>
      <c r="J9" s="1243" t="str">
        <f>ADBT13</f>
        <v>Healthcare</v>
      </c>
      <c r="K9" s="1243" t="str">
        <f>ADBT14</f>
        <v>Prison</v>
      </c>
      <c r="L9" s="1243" t="str">
        <f>ADBT15</f>
        <v>Law Court</v>
      </c>
      <c r="M9" s="1247" t="str">
        <f>ADBT16</f>
        <v>Residential institution (long term stay)</v>
      </c>
      <c r="N9" s="918" t="str">
        <f>ADBT17</f>
        <v>Residential institution (short term stay)</v>
      </c>
      <c r="O9" s="918" t="str">
        <f>ADBT18</f>
        <v>Non-residential institution</v>
      </c>
      <c r="P9" s="918" t="str">
        <f>ADBT19</f>
        <v>Assembly and leisure</v>
      </c>
      <c r="Q9" s="1243" t="str">
        <f>ADBT8</f>
        <v>Education</v>
      </c>
      <c r="R9" s="857" t="str">
        <f>ADBT20</f>
        <v>Other</v>
      </c>
      <c r="T9" s="147" t="str">
        <f>$E$6</f>
        <v>Office</v>
      </c>
      <c r="U9" s="148"/>
      <c r="V9" s="149"/>
      <c r="W9" s="149"/>
      <c r="X9" s="1162"/>
      <c r="Y9" s="1176" t="s">
        <v>411</v>
      </c>
      <c r="Z9" s="1174" t="s">
        <v>334</v>
      </c>
      <c r="AA9" s="1169" t="s">
        <v>213</v>
      </c>
      <c r="AB9" s="1170"/>
      <c r="AI9" s="77"/>
      <c r="AJ9" s="60"/>
      <c r="AK9" s="60"/>
      <c r="AM9" s="151" t="s">
        <v>87</v>
      </c>
      <c r="AN9" s="152" t="s">
        <v>88</v>
      </c>
      <c r="AO9" s="152" t="s">
        <v>89</v>
      </c>
      <c r="AP9" s="152" t="s">
        <v>235</v>
      </c>
      <c r="AQ9" s="153" t="s">
        <v>90</v>
      </c>
      <c r="AS9" s="145" t="s">
        <v>87</v>
      </c>
      <c r="AT9" s="146" t="s">
        <v>88</v>
      </c>
      <c r="AU9" s="146" t="s">
        <v>89</v>
      </c>
      <c r="AV9" s="146" t="s">
        <v>235</v>
      </c>
      <c r="AW9" s="154" t="s">
        <v>90</v>
      </c>
      <c r="AY9" s="145" t="s">
        <v>87</v>
      </c>
      <c r="AZ9" s="146" t="s">
        <v>88</v>
      </c>
      <c r="BA9" s="146" t="s">
        <v>89</v>
      </c>
      <c r="BB9" s="146" t="s">
        <v>235</v>
      </c>
      <c r="BC9" s="155" t="s">
        <v>90</v>
      </c>
      <c r="BD9" s="156" t="s">
        <v>237</v>
      </c>
      <c r="BE9" s="157" t="s">
        <v>50</v>
      </c>
      <c r="BF9" s="157"/>
      <c r="BG9" s="158" t="s">
        <v>237</v>
      </c>
      <c r="BH9" s="159" t="s">
        <v>50</v>
      </c>
      <c r="BI9" s="160"/>
      <c r="BJ9" s="161" t="s">
        <v>237</v>
      </c>
      <c r="BK9" s="159" t="s">
        <v>50</v>
      </c>
      <c r="BL9" s="162"/>
      <c r="BO9" s="682" t="s">
        <v>979</v>
      </c>
      <c r="BP9" s="682" t="s">
        <v>980</v>
      </c>
      <c r="BQ9" s="1146" t="s">
        <v>981</v>
      </c>
      <c r="BR9" s="1143" t="s">
        <v>982</v>
      </c>
      <c r="BS9" s="1143" t="s">
        <v>983</v>
      </c>
      <c r="BT9" s="1143" t="s">
        <v>984</v>
      </c>
      <c r="BW9" s="146"/>
      <c r="BX9" s="146" t="str">
        <f>E9</f>
        <v>Management</v>
      </c>
      <c r="BY9" s="146" t="s">
        <v>426</v>
      </c>
      <c r="BZ9" s="146" t="s">
        <v>424</v>
      </c>
      <c r="CA9" s="146" t="s">
        <v>434</v>
      </c>
      <c r="CB9" s="146" t="s">
        <v>431</v>
      </c>
      <c r="CG9" s="96" t="s">
        <v>427</v>
      </c>
    </row>
    <row r="10" spans="1:90" x14ac:dyDescent="0.25">
      <c r="A10" s="96">
        <v>2</v>
      </c>
      <c r="B10" s="137" t="str">
        <f>D10</f>
        <v>Man 01</v>
      </c>
      <c r="C10" s="137" t="str">
        <f>B10</f>
        <v>Man 01</v>
      </c>
      <c r="D10" s="832" t="s">
        <v>91</v>
      </c>
      <c r="E10" s="832" t="s">
        <v>305</v>
      </c>
      <c r="F10" s="933">
        <f>SUM(F11:F15)</f>
        <v>5</v>
      </c>
      <c r="G10" s="933">
        <f t="shared" ref="G10:R10" si="0">SUM(G11:G15)</f>
        <v>5</v>
      </c>
      <c r="H10" s="933">
        <f t="shared" si="0"/>
        <v>5</v>
      </c>
      <c r="I10" s="933">
        <f t="shared" si="0"/>
        <v>5</v>
      </c>
      <c r="J10" s="933">
        <f t="shared" si="0"/>
        <v>5</v>
      </c>
      <c r="K10" s="933">
        <f t="shared" si="0"/>
        <v>5</v>
      </c>
      <c r="L10" s="933">
        <f t="shared" si="0"/>
        <v>5</v>
      </c>
      <c r="M10" s="933">
        <f t="shared" si="0"/>
        <v>5</v>
      </c>
      <c r="N10" s="933">
        <f t="shared" si="0"/>
        <v>5</v>
      </c>
      <c r="O10" s="933">
        <f t="shared" si="0"/>
        <v>5</v>
      </c>
      <c r="P10" s="933">
        <f t="shared" si="0"/>
        <v>5</v>
      </c>
      <c r="Q10" s="933">
        <f t="shared" ref="Q10" si="1">SUM(Q11:Q15)</f>
        <v>5</v>
      </c>
      <c r="R10" s="933">
        <f t="shared" si="0"/>
        <v>5</v>
      </c>
      <c r="S10" s="667"/>
      <c r="T10" s="919">
        <f t="shared" ref="T10:T36" si="2">HLOOKUP($E$6,$F$9:$R$231,$A10,FALSE)</f>
        <v>5</v>
      </c>
      <c r="U10" s="166"/>
      <c r="V10" s="167"/>
      <c r="W10" s="167"/>
      <c r="X10" s="168">
        <f>'Manuell filtrering og justering'!E7</f>
        <v>0</v>
      </c>
      <c r="Y10" s="169"/>
      <c r="Z10" s="1175">
        <f t="shared" ref="Z10" si="3">SUM(Z11:Z15)</f>
        <v>6</v>
      </c>
      <c r="AA10" s="1167">
        <f>IF(SUM(U10:Y10)&gt;T10,T10,SUM(U10:Y10))</f>
        <v>0</v>
      </c>
      <c r="AB10" s="1171">
        <f>SUM(AB11:AB15)</f>
        <v>5</v>
      </c>
      <c r="AD10" s="921">
        <f t="shared" ref="AD10:AD33" si="4">(Man_Weight/Man_Credits)*AB10</f>
        <v>3.0952380952380953E-2</v>
      </c>
      <c r="AE10" s="921">
        <f>SUM(AE11:AE15)</f>
        <v>0</v>
      </c>
      <c r="AF10" s="921">
        <f>SUM(AF11:AF15)</f>
        <v>0</v>
      </c>
      <c r="AG10" s="921">
        <f>SUM(AG11:AG15)</f>
        <v>0</v>
      </c>
      <c r="AI10" s="922">
        <f t="shared" ref="AI10:AK10" si="5">SUM(AI11:AI15)</f>
        <v>0</v>
      </c>
      <c r="AJ10" s="922">
        <f t="shared" si="5"/>
        <v>0</v>
      </c>
      <c r="AK10" s="922">
        <f t="shared" si="5"/>
        <v>0</v>
      </c>
      <c r="AM10" s="173"/>
      <c r="AN10" s="290"/>
      <c r="AO10" s="290"/>
      <c r="AP10" s="181"/>
      <c r="AQ10" s="186"/>
      <c r="AS10" s="291"/>
      <c r="AT10" s="181"/>
      <c r="AU10" s="181"/>
      <c r="AV10" s="181"/>
      <c r="AW10" s="186"/>
      <c r="AX10" s="141"/>
      <c r="AY10" s="174"/>
      <c r="AZ10" s="175"/>
      <c r="BA10" s="175"/>
      <c r="BB10" s="175"/>
      <c r="BC10" s="176"/>
      <c r="BD10" s="174">
        <f>IF(BC10=0,9,IF(AI10&gt;=BC10,5,IF(AI10&gt;=BB10,4,IF(AI10&gt;=BA10,3,IF(AI10&gt;=AZ10,2,IF(AI10&lt;AY10,0,1))))))</f>
        <v>9</v>
      </c>
      <c r="BE10" s="177" t="str">
        <f t="shared" ref="BE10:BE35" si="6">VLOOKUP(BD10,$BO$285:$BT$291,6,FALSE)</f>
        <v>N/A</v>
      </c>
      <c r="BF10" s="178"/>
      <c r="BG10" s="174">
        <f t="shared" ref="BG10:BG35" si="7">IF(BC10=0,9,IF(AJ10&gt;=BC10,5,IF(AJ10&gt;=BB10,4,IF(AJ10&gt;=BA10,3,IF(AJ10&gt;=AZ10,2,IF(AJ10&lt;AY10,0,1))))))</f>
        <v>9</v>
      </c>
      <c r="BH10" s="177" t="str">
        <f t="shared" ref="BH10:BH35" si="8">VLOOKUP(BG10,$BO$285:$BT$291,6,FALSE)</f>
        <v>N/A</v>
      </c>
      <c r="BI10" s="178"/>
      <c r="BJ10" s="174">
        <f>IF(BC10=0,9,IF(AK10&gt;=BC10,5,IF(AK10&gt;=BB10,4,IF(AK10&gt;=BA10,3,IF(AK10&gt;=AZ10,2,IF(AK10&lt;AY10,0,1))))))</f>
        <v>9</v>
      </c>
      <c r="BK10" s="177" t="str">
        <f t="shared" ref="BK10:BK35" si="9">VLOOKUP(BJ10,$BO$285:$BT$291,6,FALSE)</f>
        <v>N/A</v>
      </c>
      <c r="BL10" s="178"/>
      <c r="BO10" s="167"/>
      <c r="BP10" s="167"/>
      <c r="BQ10" s="167" t="str">
        <f>IF(BO10&lt;&gt;"",BO10,IF(BP10&lt;&gt;"",BP10,""))</f>
        <v/>
      </c>
      <c r="BR10" s="167">
        <f>IF(BQ10="",9,(IF(AI10&gt;=BQ10,5,0)))</f>
        <v>9</v>
      </c>
      <c r="BS10" s="167">
        <f>IF(BQ10="",9,(IF(AJ10&gt;=BQ10,5,0)))</f>
        <v>9</v>
      </c>
      <c r="BT10" s="167">
        <f>IF(BQ10="",9,(IF(AK10&gt;=BQ10,5,0)))</f>
        <v>9</v>
      </c>
      <c r="BW10" s="676" t="str">
        <f>D10</f>
        <v>Man 01</v>
      </c>
      <c r="BX10" s="676" t="str">
        <f>IFERROR(VLOOKUP($E10,'Pre-Assessment Estimator'!$E$11:$AB$228,'Pre-Assessment Estimator'!AB$2,FALSE),"")</f>
        <v>No</v>
      </c>
      <c r="BY10" s="288">
        <f>IFERROR(VLOOKUP($E10,'Pre-Assessment Estimator'!$E$11:$AI$228,'Pre-Assessment Estimator'!AI$2,FALSE),"")</f>
        <v>0</v>
      </c>
      <c r="BZ10" s="288">
        <f>IFERROR(VLOOKUP($BX10,$E$294:$H$327,F$292,FALSE),"")</f>
        <v>1</v>
      </c>
      <c r="CA10" s="288">
        <f>IFERROR(VLOOKUP($BX10,$E$294:$H$327,G$292,FALSE),"")</f>
        <v>0</v>
      </c>
      <c r="CB10" s="288"/>
      <c r="CC10" s="96" t="str">
        <f>IFERROR(VLOOKUP($BX10,$E$294:$H$327,I$292,FALSE),"")</f>
        <v/>
      </c>
    </row>
    <row r="11" spans="1:90" x14ac:dyDescent="0.25">
      <c r="A11" s="96">
        <v>3</v>
      </c>
      <c r="B11" s="96" t="str">
        <f t="shared" ref="B11:B15" si="10">$D$10&amp;D11</f>
        <v>Man 01a</v>
      </c>
      <c r="C11" s="96" t="str">
        <f>C10</f>
        <v>Man 01</v>
      </c>
      <c r="D11" s="167" t="s">
        <v>692</v>
      </c>
      <c r="E11" s="1107" t="s">
        <v>589</v>
      </c>
      <c r="F11" s="775">
        <v>1</v>
      </c>
      <c r="G11" s="775">
        <v>1</v>
      </c>
      <c r="H11" s="775">
        <v>1</v>
      </c>
      <c r="I11" s="775">
        <v>1</v>
      </c>
      <c r="J11" s="775">
        <v>1</v>
      </c>
      <c r="K11" s="775">
        <v>1</v>
      </c>
      <c r="L11" s="775">
        <v>1</v>
      </c>
      <c r="M11" s="775">
        <v>1</v>
      </c>
      <c r="N11" s="775">
        <v>1</v>
      </c>
      <c r="O11" s="775">
        <v>1</v>
      </c>
      <c r="P11" s="775">
        <v>1</v>
      </c>
      <c r="Q11" s="775">
        <v>1</v>
      </c>
      <c r="R11" s="775">
        <v>1</v>
      </c>
      <c r="S11" s="667"/>
      <c r="T11" s="165">
        <f t="shared" si="2"/>
        <v>1</v>
      </c>
      <c r="U11" s="166"/>
      <c r="V11" s="167"/>
      <c r="W11" s="167"/>
      <c r="X11" s="168"/>
      <c r="Y11" s="169"/>
      <c r="Z11" s="1158">
        <f>VLOOKUP(B11,'Manuell filtrering og justering'!$A$7:$H$107,'Manuell filtrering og justering'!$H$1,FALSE)</f>
        <v>1</v>
      </c>
      <c r="AA11" s="1167">
        <f t="shared" ref="AA11:AA35" si="11">IF(SUM(U11:Y11)&gt;T11,T11,SUM(U11:Y11))</f>
        <v>0</v>
      </c>
      <c r="AB11" s="185">
        <f>IF($AC$5='Manuell filtrering og justering'!$J$2,Z11,(T11-AA11))</f>
        <v>1</v>
      </c>
      <c r="AD11" s="171">
        <f t="shared" si="4"/>
        <v>6.1904761904761907E-3</v>
      </c>
      <c r="AE11" s="171">
        <f>IF(AB11=0,0,(AD11/AB11)*AI11)</f>
        <v>0</v>
      </c>
      <c r="AF11" s="171">
        <f>IF(AB11=0,0,(AD11/AB11)*AJ11)</f>
        <v>0</v>
      </c>
      <c r="AG11" s="171">
        <f>IF(AB11=0,0,(AD11/AB11)*AK11)</f>
        <v>0</v>
      </c>
      <c r="AI11" s="172">
        <f>IF(VLOOKUP(E11,'Pre-Assessment Estimator'!$E$11:$Z$228,'Pre-Assessment Estimator'!$G$2,FALSE)&gt;AB11,AB11,VLOOKUP(E11,'Pre-Assessment Estimator'!$E$11:$Z$228,'Pre-Assessment Estimator'!$G$2,FALSE))</f>
        <v>0</v>
      </c>
      <c r="AJ11" s="172">
        <f>IF(VLOOKUP(E11,'Pre-Assessment Estimator'!$E$11:$Z$228,'Pre-Assessment Estimator'!$N$2,FALSE)&gt;AB11,AB11,VLOOKUP(E11,'Pre-Assessment Estimator'!$E$11:$Z$228,'Pre-Assessment Estimator'!$N$2,FALSE))</f>
        <v>0</v>
      </c>
      <c r="AK11" s="172">
        <f>IF(VLOOKUP(E11,'Pre-Assessment Estimator'!$E$11:$Z$228,'Pre-Assessment Estimator'!$U$2,FALSE)&gt;AB11,AB11,VLOOKUP(E11,'Pre-Assessment Estimator'!$E$11:$Z$228,'Pre-Assessment Estimator'!$U$2,FALSE))</f>
        <v>0</v>
      </c>
      <c r="AM11" s="826"/>
      <c r="AN11" s="827"/>
      <c r="AO11" s="827"/>
      <c r="AP11" s="181">
        <v>1</v>
      </c>
      <c r="AQ11" s="186">
        <v>1</v>
      </c>
      <c r="AS11" s="291"/>
      <c r="AT11" s="181"/>
      <c r="AU11" s="181"/>
      <c r="AV11" s="181">
        <v>1</v>
      </c>
      <c r="AW11" s="186">
        <v>1</v>
      </c>
      <c r="AX11" s="141"/>
      <c r="AY11" s="828"/>
      <c r="AZ11" s="829"/>
      <c r="BA11" s="829"/>
      <c r="BB11" s="183">
        <f>IF($E$6=$H$9,AV11,AP11)</f>
        <v>1</v>
      </c>
      <c r="BC11" s="183">
        <f>IF($E$6=$H$9,AW11,AQ11)</f>
        <v>1</v>
      </c>
      <c r="BD11" s="182">
        <f t="shared" ref="BD11:BD15" si="12">IF(BC11=0,9,IF(AI11&gt;=BC11,5,IF(AI11&gt;=BB11,4,IF(AI11&gt;=BA11,3,IF(AI11&gt;=AZ11,2,IF(AI11&lt;AY11,0,1))))))</f>
        <v>3</v>
      </c>
      <c r="BE11" s="164" t="str">
        <f t="shared" si="6"/>
        <v>Very Good</v>
      </c>
      <c r="BF11" s="185"/>
      <c r="BG11" s="182">
        <f t="shared" ref="BG11:BG15" si="13">IF(BC11=0,9,IF(AJ11&gt;=BC11,5,IF(AJ11&gt;=BB11,4,IF(AJ11&gt;=BA11,3,IF(AJ11&gt;=AZ11,2,IF(AJ11&lt;AY11,0,1))))))</f>
        <v>3</v>
      </c>
      <c r="BH11" s="164" t="str">
        <f t="shared" si="8"/>
        <v>Very Good</v>
      </c>
      <c r="BI11" s="185"/>
      <c r="BJ11" s="182">
        <f t="shared" ref="BJ11:BJ15" si="14">IF(BC11=0,9,IF(AK11&gt;=BC11,5,IF(AK11&gt;=BB11,4,IF(AK11&gt;=BA11,3,IF(AK11&gt;=AZ11,2,IF(AK11&lt;AY11,0,1))))))</f>
        <v>3</v>
      </c>
      <c r="BK11" s="164" t="str">
        <f t="shared" si="9"/>
        <v>Very Good</v>
      </c>
      <c r="BL11" s="830"/>
      <c r="BO11" s="167"/>
      <c r="BP11" s="167"/>
      <c r="BQ11" s="167" t="str">
        <f t="shared" ref="BQ11:BQ74" si="15">IF(BO11&lt;&gt;"",BO11,IF(BP11&lt;&gt;"",BP11,""))</f>
        <v/>
      </c>
      <c r="BR11" s="167">
        <f t="shared" ref="BR11" si="16">IF(BQ11="",9,(IF(AI11&gt;=BQ11,5,0)))</f>
        <v>9</v>
      </c>
      <c r="BS11" s="167">
        <f t="shared" ref="BS11:BS30" si="17">IF(BQ11="",9,(IF(AJ11&gt;=BQ11,5,0)))</f>
        <v>9</v>
      </c>
      <c r="BT11" s="167">
        <f t="shared" ref="BT11:BT30" si="18">IF(BQ11="",9,(IF(AK11&gt;=BQ11,5,0)))</f>
        <v>9</v>
      </c>
      <c r="BW11" s="676"/>
      <c r="BX11" s="676"/>
      <c r="BY11" s="288"/>
      <c r="BZ11" s="288"/>
      <c r="CA11" s="288"/>
      <c r="CB11" s="288"/>
    </row>
    <row r="12" spans="1:90" x14ac:dyDescent="0.25">
      <c r="A12" s="96">
        <v>4</v>
      </c>
      <c r="B12" s="96" t="str">
        <f t="shared" si="10"/>
        <v>Man 01b</v>
      </c>
      <c r="C12" s="96" t="str">
        <f t="shared" ref="C12:C74" si="19">C11</f>
        <v>Man 01</v>
      </c>
      <c r="D12" s="167" t="s">
        <v>695</v>
      </c>
      <c r="E12" s="1248" t="s">
        <v>1143</v>
      </c>
      <c r="F12" s="775">
        <v>1</v>
      </c>
      <c r="G12" s="775">
        <v>1</v>
      </c>
      <c r="H12" s="775">
        <v>1</v>
      </c>
      <c r="I12" s="775">
        <v>1</v>
      </c>
      <c r="J12" s="775">
        <v>1</v>
      </c>
      <c r="K12" s="775">
        <v>1</v>
      </c>
      <c r="L12" s="775">
        <v>1</v>
      </c>
      <c r="M12" s="775">
        <v>1</v>
      </c>
      <c r="N12" s="775">
        <v>1</v>
      </c>
      <c r="O12" s="775">
        <v>1</v>
      </c>
      <c r="P12" s="775">
        <v>1</v>
      </c>
      <c r="Q12" s="775">
        <v>1</v>
      </c>
      <c r="R12" s="775">
        <v>1</v>
      </c>
      <c r="S12" s="667"/>
      <c r="T12" s="165">
        <f t="shared" si="2"/>
        <v>1</v>
      </c>
      <c r="U12" s="166"/>
      <c r="V12" s="167"/>
      <c r="W12" s="167"/>
      <c r="X12" s="168"/>
      <c r="Y12" s="169"/>
      <c r="Z12" s="1158">
        <f>VLOOKUP(B12,'Manuell filtrering og justering'!$A$7:$H$107,'Manuell filtrering og justering'!$H$1,FALSE)</f>
        <v>1</v>
      </c>
      <c r="AA12" s="1167">
        <f t="shared" si="11"/>
        <v>0</v>
      </c>
      <c r="AB12" s="185">
        <f>IF($AC$5='Manuell filtrering og justering'!$J$2,Z12,(T12-AA12))</f>
        <v>1</v>
      </c>
      <c r="AD12" s="171">
        <f t="shared" si="4"/>
        <v>6.1904761904761907E-3</v>
      </c>
      <c r="AE12" s="171">
        <f>IF(AB12=0,0,(AD12/AB12)*AI12)</f>
        <v>0</v>
      </c>
      <c r="AF12" s="171">
        <f t="shared" ref="AF12:AF33" si="20">IF(AB12=0,0,(AD12/AB12)*AJ12)</f>
        <v>0</v>
      </c>
      <c r="AG12" s="171">
        <f t="shared" ref="AG12:AG33" si="21">IF(AB12=0,0,(AD12/AB12)*AK12)</f>
        <v>0</v>
      </c>
      <c r="AI12" s="172">
        <f>IF(VLOOKUP(E12,'Pre-Assessment Estimator'!$E$11:$Z$228,'Pre-Assessment Estimator'!$G$2,FALSE)&gt;AB12,AB12,VLOOKUP(E12,'Pre-Assessment Estimator'!$E$11:$Z$228,'Pre-Assessment Estimator'!$G$2,FALSE))</f>
        <v>0</v>
      </c>
      <c r="AJ12" s="172">
        <f>IF(VLOOKUP(E12,'Pre-Assessment Estimator'!$E$11:$Z$228,'Pre-Assessment Estimator'!$N$2,FALSE)&gt;AB12,AB12,VLOOKUP(E12,'Pre-Assessment Estimator'!$E$11:$Z$228,'Pre-Assessment Estimator'!$N$2,FALSE))</f>
        <v>0</v>
      </c>
      <c r="AK12" s="172">
        <f>IF(VLOOKUP(E12,'Pre-Assessment Estimator'!$E$11:$Z$228,'Pre-Assessment Estimator'!$U$2,FALSE)&gt;AB12,AB12,VLOOKUP(E12,'Pre-Assessment Estimator'!$E$11:$Z$228,'Pre-Assessment Estimator'!$U$2,FALSE))</f>
        <v>0</v>
      </c>
      <c r="AM12" s="826"/>
      <c r="AN12" s="827"/>
      <c r="AO12" s="827"/>
      <c r="AP12" s="181">
        <v>1</v>
      </c>
      <c r="AQ12" s="186">
        <v>1</v>
      </c>
      <c r="AS12" s="291"/>
      <c r="AT12" s="181"/>
      <c r="AU12" s="181"/>
      <c r="AV12" s="181">
        <v>1</v>
      </c>
      <c r="AW12" s="186">
        <v>1</v>
      </c>
      <c r="AX12" s="141"/>
      <c r="AY12" s="828"/>
      <c r="AZ12" s="829"/>
      <c r="BA12" s="829"/>
      <c r="BB12" s="183">
        <f>IF($E$6=$H$9,AV12,AP12)</f>
        <v>1</v>
      </c>
      <c r="BC12" s="183">
        <f>IF($E$6=$H$9,AW12,AQ12)</f>
        <v>1</v>
      </c>
      <c r="BD12" s="182">
        <f t="shared" si="12"/>
        <v>3</v>
      </c>
      <c r="BE12" s="164" t="str">
        <f t="shared" si="6"/>
        <v>Very Good</v>
      </c>
      <c r="BF12" s="185"/>
      <c r="BG12" s="182">
        <f t="shared" si="13"/>
        <v>3</v>
      </c>
      <c r="BH12" s="164" t="str">
        <f t="shared" si="8"/>
        <v>Very Good</v>
      </c>
      <c r="BI12" s="185"/>
      <c r="BJ12" s="182">
        <f t="shared" si="14"/>
        <v>3</v>
      </c>
      <c r="BK12" s="164" t="str">
        <f t="shared" si="9"/>
        <v>Very Good</v>
      </c>
      <c r="BL12" s="830"/>
      <c r="BO12" s="167"/>
      <c r="BP12" s="167"/>
      <c r="BQ12" s="167" t="str">
        <f t="shared" si="15"/>
        <v/>
      </c>
      <c r="BR12" s="167">
        <f>IF(BQ12="",9,(IF(AI12&gt;=BQ12,5,0)))</f>
        <v>9</v>
      </c>
      <c r="BS12" s="167">
        <f t="shared" si="17"/>
        <v>9</v>
      </c>
      <c r="BT12" s="167">
        <f t="shared" si="18"/>
        <v>9</v>
      </c>
      <c r="BW12" s="676"/>
      <c r="BX12" s="676"/>
      <c r="BY12" s="288"/>
      <c r="BZ12" s="288"/>
      <c r="CA12" s="288"/>
      <c r="CB12" s="288"/>
    </row>
    <row r="13" spans="1:90" x14ac:dyDescent="0.25">
      <c r="A13" s="96">
        <v>5</v>
      </c>
      <c r="B13" s="96" t="str">
        <f t="shared" si="10"/>
        <v>Man 01c</v>
      </c>
      <c r="C13" s="96" t="str">
        <f t="shared" si="19"/>
        <v>Man 01</v>
      </c>
      <c r="D13" s="167" t="s">
        <v>696</v>
      </c>
      <c r="E13" s="1107" t="s">
        <v>585</v>
      </c>
      <c r="F13" s="775">
        <v>1</v>
      </c>
      <c r="G13" s="775">
        <v>1</v>
      </c>
      <c r="H13" s="775">
        <v>1</v>
      </c>
      <c r="I13" s="775">
        <v>1</v>
      </c>
      <c r="J13" s="775">
        <v>1</v>
      </c>
      <c r="K13" s="775">
        <v>1</v>
      </c>
      <c r="L13" s="775">
        <v>1</v>
      </c>
      <c r="M13" s="775">
        <v>1</v>
      </c>
      <c r="N13" s="775">
        <v>1</v>
      </c>
      <c r="O13" s="775">
        <v>1</v>
      </c>
      <c r="P13" s="775">
        <v>1</v>
      </c>
      <c r="Q13" s="775">
        <v>1</v>
      </c>
      <c r="R13" s="775">
        <v>1</v>
      </c>
      <c r="S13" s="667"/>
      <c r="T13" s="165">
        <f t="shared" si="2"/>
        <v>1</v>
      </c>
      <c r="U13" s="166"/>
      <c r="V13" s="167"/>
      <c r="W13" s="167"/>
      <c r="X13" s="168"/>
      <c r="Y13" s="169"/>
      <c r="Z13" s="1158">
        <f>VLOOKUP(B13,'Manuell filtrering og justering'!$A$7:$H$107,'Manuell filtrering og justering'!$H$1,FALSE)</f>
        <v>1</v>
      </c>
      <c r="AA13" s="1167">
        <f t="shared" si="11"/>
        <v>0</v>
      </c>
      <c r="AB13" s="185">
        <f>IF($AC$5='Manuell filtrering og justering'!$J$2,Z13,(T13-AA13))</f>
        <v>1</v>
      </c>
      <c r="AD13" s="171">
        <f t="shared" si="4"/>
        <v>6.1904761904761907E-3</v>
      </c>
      <c r="AE13" s="171">
        <f>IF(AB13=0,0,(AD13/AB13)*AI13)</f>
        <v>0</v>
      </c>
      <c r="AF13" s="171">
        <f t="shared" si="20"/>
        <v>0</v>
      </c>
      <c r="AG13" s="171">
        <f t="shared" si="21"/>
        <v>0</v>
      </c>
      <c r="AI13" s="172">
        <f>IF(VLOOKUP(E13,'Pre-Assessment Estimator'!$E$11:$Z$228,'Pre-Assessment Estimator'!$G$2,FALSE)&gt;AB13,AB13,VLOOKUP(E13,'Pre-Assessment Estimator'!$E$11:$Z$228,'Pre-Assessment Estimator'!$G$2,FALSE))</f>
        <v>0</v>
      </c>
      <c r="AJ13" s="172">
        <f>IF(VLOOKUP(E13,'Pre-Assessment Estimator'!$E$11:$Z$228,'Pre-Assessment Estimator'!$N$2,FALSE)&gt;AB13,AB13,VLOOKUP(E13,'Pre-Assessment Estimator'!$E$11:$Z$228,'Pre-Assessment Estimator'!$N$2,FALSE))</f>
        <v>0</v>
      </c>
      <c r="AK13" s="172">
        <f>IF(VLOOKUP(E13,'Pre-Assessment Estimator'!$E$11:$Z$228,'Pre-Assessment Estimator'!$U$2,FALSE)&gt;AB13,AB13,VLOOKUP(E13,'Pre-Assessment Estimator'!$E$11:$Z$228,'Pre-Assessment Estimator'!$U$2,FALSE))</f>
        <v>0</v>
      </c>
      <c r="AM13" s="826"/>
      <c r="AN13" s="827"/>
      <c r="AO13" s="827"/>
      <c r="AP13" s="181"/>
      <c r="AQ13" s="186"/>
      <c r="AS13" s="291"/>
      <c r="AT13" s="181"/>
      <c r="AU13" s="181"/>
      <c r="AV13" s="181"/>
      <c r="AW13" s="186"/>
      <c r="AX13" s="141"/>
      <c r="AY13" s="828"/>
      <c r="AZ13" s="829"/>
      <c r="BA13" s="829"/>
      <c r="BB13" s="829"/>
      <c r="BC13" s="176"/>
      <c r="BD13" s="182">
        <f t="shared" si="12"/>
        <v>9</v>
      </c>
      <c r="BE13" s="164" t="str">
        <f t="shared" si="6"/>
        <v>N/A</v>
      </c>
      <c r="BF13" s="185"/>
      <c r="BG13" s="182">
        <f t="shared" si="13"/>
        <v>9</v>
      </c>
      <c r="BH13" s="164" t="str">
        <f t="shared" si="8"/>
        <v>N/A</v>
      </c>
      <c r="BI13" s="185"/>
      <c r="BJ13" s="182">
        <f t="shared" si="14"/>
        <v>9</v>
      </c>
      <c r="BK13" s="164" t="str">
        <f t="shared" si="9"/>
        <v>N/A</v>
      </c>
      <c r="BL13" s="830"/>
      <c r="BO13" s="167"/>
      <c r="BP13" s="167"/>
      <c r="BQ13" s="167" t="str">
        <f t="shared" si="15"/>
        <v/>
      </c>
      <c r="BR13" s="167">
        <f t="shared" ref="BR13:BR30" si="22">IF(BQ13="",9,(IF(AI13&gt;=BQ13,5,0)))</f>
        <v>9</v>
      </c>
      <c r="BS13" s="167">
        <f t="shared" si="17"/>
        <v>9</v>
      </c>
      <c r="BT13" s="167">
        <f t="shared" si="18"/>
        <v>9</v>
      </c>
      <c r="BW13" s="676"/>
      <c r="BX13" s="676"/>
      <c r="BY13" s="288"/>
      <c r="BZ13" s="288"/>
      <c r="CA13" s="288"/>
      <c r="CB13" s="288"/>
    </row>
    <row r="14" spans="1:90" x14ac:dyDescent="0.25">
      <c r="A14" s="96">
        <v>6</v>
      </c>
      <c r="B14" s="96" t="str">
        <f t="shared" si="10"/>
        <v>Man 01d</v>
      </c>
      <c r="C14" s="96" t="str">
        <f t="shared" si="19"/>
        <v>Man 01</v>
      </c>
      <c r="D14" s="167" t="s">
        <v>694</v>
      </c>
      <c r="E14" s="1107" t="s">
        <v>586</v>
      </c>
      <c r="F14" s="775">
        <v>1</v>
      </c>
      <c r="G14" s="775">
        <v>1</v>
      </c>
      <c r="H14" s="775">
        <v>1</v>
      </c>
      <c r="I14" s="775">
        <v>1</v>
      </c>
      <c r="J14" s="775">
        <v>1</v>
      </c>
      <c r="K14" s="775">
        <v>1</v>
      </c>
      <c r="L14" s="775">
        <v>1</v>
      </c>
      <c r="M14" s="775">
        <v>1</v>
      </c>
      <c r="N14" s="775">
        <v>1</v>
      </c>
      <c r="O14" s="775">
        <v>1</v>
      </c>
      <c r="P14" s="775">
        <v>1</v>
      </c>
      <c r="Q14" s="775">
        <v>1</v>
      </c>
      <c r="R14" s="775">
        <v>1</v>
      </c>
      <c r="S14" s="667"/>
      <c r="T14" s="165">
        <f t="shared" si="2"/>
        <v>1</v>
      </c>
      <c r="U14" s="166"/>
      <c r="V14" s="167"/>
      <c r="W14" s="167"/>
      <c r="X14" s="168"/>
      <c r="Y14" s="169"/>
      <c r="Z14" s="1158">
        <f>VLOOKUP(B14,'Manuell filtrering og justering'!$A$7:$H$107,'Manuell filtrering og justering'!$H$1,FALSE)</f>
        <v>1</v>
      </c>
      <c r="AA14" s="1167">
        <f t="shared" si="11"/>
        <v>0</v>
      </c>
      <c r="AB14" s="185">
        <f>IF($AC$5='Manuell filtrering og justering'!$J$2,Z14,(T14-AA14))</f>
        <v>1</v>
      </c>
      <c r="AD14" s="171">
        <f t="shared" si="4"/>
        <v>6.1904761904761907E-3</v>
      </c>
      <c r="AE14" s="171">
        <f>IF(AB14=0,0,(AD14/AB14)*AI14)</f>
        <v>0</v>
      </c>
      <c r="AF14" s="171">
        <f t="shared" si="20"/>
        <v>0</v>
      </c>
      <c r="AG14" s="171">
        <f t="shared" si="21"/>
        <v>0</v>
      </c>
      <c r="AI14" s="172">
        <f>IF(VLOOKUP(E14,'Pre-Assessment Estimator'!$E$11:$Z$228,'Pre-Assessment Estimator'!$G$2,FALSE)&gt;AB14,AB14,VLOOKUP(E14,'Pre-Assessment Estimator'!$E$11:$Z$228,'Pre-Assessment Estimator'!$G$2,FALSE))</f>
        <v>0</v>
      </c>
      <c r="AJ14" s="172">
        <f>IF(VLOOKUP(E14,'Pre-Assessment Estimator'!$E$11:$Z$228,'Pre-Assessment Estimator'!$N$2,FALSE)&gt;AB14,AB14,VLOOKUP(E14,'Pre-Assessment Estimator'!$E$11:$Z$228,'Pre-Assessment Estimator'!$N$2,FALSE))</f>
        <v>0</v>
      </c>
      <c r="AK14" s="172">
        <f>IF(VLOOKUP(E14,'Pre-Assessment Estimator'!$E$11:$Z$228,'Pre-Assessment Estimator'!$U$2,FALSE)&gt;AB14,AB14,VLOOKUP(E14,'Pre-Assessment Estimator'!$E$11:$Z$228,'Pre-Assessment Estimator'!$U$2,FALSE))</f>
        <v>0</v>
      </c>
      <c r="AM14" s="826"/>
      <c r="AN14" s="827"/>
      <c r="AO14" s="827"/>
      <c r="AP14" s="181"/>
      <c r="AQ14" s="186"/>
      <c r="AS14" s="291"/>
      <c r="AT14" s="181"/>
      <c r="AU14" s="181"/>
      <c r="AV14" s="181"/>
      <c r="AW14" s="186"/>
      <c r="AX14" s="141"/>
      <c r="AY14" s="828"/>
      <c r="AZ14" s="829"/>
      <c r="BA14" s="829"/>
      <c r="BB14" s="829"/>
      <c r="BC14" s="176"/>
      <c r="BD14" s="182">
        <f t="shared" si="12"/>
        <v>9</v>
      </c>
      <c r="BE14" s="164" t="str">
        <f t="shared" si="6"/>
        <v>N/A</v>
      </c>
      <c r="BF14" s="185"/>
      <c r="BG14" s="182">
        <f t="shared" si="13"/>
        <v>9</v>
      </c>
      <c r="BH14" s="164" t="str">
        <f t="shared" si="8"/>
        <v>N/A</v>
      </c>
      <c r="BI14" s="185"/>
      <c r="BJ14" s="182">
        <f t="shared" si="14"/>
        <v>9</v>
      </c>
      <c r="BK14" s="164" t="str">
        <f t="shared" si="9"/>
        <v>N/A</v>
      </c>
      <c r="BL14" s="830"/>
      <c r="BO14" s="167"/>
      <c r="BP14" s="167"/>
      <c r="BQ14" s="167" t="str">
        <f t="shared" si="15"/>
        <v/>
      </c>
      <c r="BR14" s="167">
        <f t="shared" si="22"/>
        <v>9</v>
      </c>
      <c r="BS14" s="167">
        <f t="shared" si="17"/>
        <v>9</v>
      </c>
      <c r="BT14" s="167">
        <f t="shared" si="18"/>
        <v>9</v>
      </c>
      <c r="BW14" s="676"/>
      <c r="BX14" s="676"/>
      <c r="BY14" s="288"/>
      <c r="BZ14" s="288"/>
      <c r="CA14" s="288"/>
      <c r="CB14" s="288"/>
    </row>
    <row r="15" spans="1:90" x14ac:dyDescent="0.25">
      <c r="A15" s="96">
        <v>7</v>
      </c>
      <c r="B15" s="96" t="str">
        <f t="shared" si="10"/>
        <v>Man 01e</v>
      </c>
      <c r="C15" s="96" t="str">
        <f t="shared" si="19"/>
        <v>Man 01</v>
      </c>
      <c r="D15" s="167" t="s">
        <v>693</v>
      </c>
      <c r="E15" s="1107" t="s">
        <v>587</v>
      </c>
      <c r="F15" s="775">
        <v>1</v>
      </c>
      <c r="G15" s="775">
        <v>1</v>
      </c>
      <c r="H15" s="775">
        <v>1</v>
      </c>
      <c r="I15" s="775">
        <v>1</v>
      </c>
      <c r="J15" s="775">
        <v>1</v>
      </c>
      <c r="K15" s="775">
        <v>1</v>
      </c>
      <c r="L15" s="775">
        <v>1</v>
      </c>
      <c r="M15" s="775">
        <v>1</v>
      </c>
      <c r="N15" s="775">
        <v>1</v>
      </c>
      <c r="O15" s="775">
        <v>1</v>
      </c>
      <c r="P15" s="775">
        <v>1</v>
      </c>
      <c r="Q15" s="775">
        <v>1</v>
      </c>
      <c r="R15" s="775">
        <v>1</v>
      </c>
      <c r="S15" s="667"/>
      <c r="T15" s="165">
        <f t="shared" si="2"/>
        <v>1</v>
      </c>
      <c r="U15" s="166"/>
      <c r="V15" s="167"/>
      <c r="W15" s="167"/>
      <c r="X15" s="168"/>
      <c r="Y15" s="169"/>
      <c r="Z15" s="1158">
        <f>VLOOKUP(B15,'Manuell filtrering og justering'!$A$7:$H$107,'Manuell filtrering og justering'!$H$1,FALSE)</f>
        <v>2</v>
      </c>
      <c r="AA15" s="1167">
        <f t="shared" si="11"/>
        <v>0</v>
      </c>
      <c r="AB15" s="185">
        <f>IF($AC$5='Manuell filtrering og justering'!$J$2,Z15,(T15-AA15))</f>
        <v>1</v>
      </c>
      <c r="AD15" s="171">
        <f t="shared" si="4"/>
        <v>6.1904761904761907E-3</v>
      </c>
      <c r="AE15" s="171">
        <f>IF(AB15=0,0,(AD15/AB15)*AI15)</f>
        <v>0</v>
      </c>
      <c r="AF15" s="171">
        <f t="shared" si="20"/>
        <v>0</v>
      </c>
      <c r="AG15" s="171">
        <f t="shared" si="21"/>
        <v>0</v>
      </c>
      <c r="AI15" s="172">
        <f>IF(VLOOKUP(E15,'Pre-Assessment Estimator'!$E$11:$Z$228,'Pre-Assessment Estimator'!$G$2,FALSE)&gt;AB15,AB15,VLOOKUP(E15,'Pre-Assessment Estimator'!$E$11:$Z$228,'Pre-Assessment Estimator'!$G$2,FALSE))</f>
        <v>0</v>
      </c>
      <c r="AJ15" s="172">
        <f>IF(VLOOKUP(E15,'Pre-Assessment Estimator'!$E$11:$Z$228,'Pre-Assessment Estimator'!$N$2,FALSE)&gt;AB15,AB15,VLOOKUP(E15,'Pre-Assessment Estimator'!$E$11:$Z$228,'Pre-Assessment Estimator'!$N$2,FALSE))</f>
        <v>0</v>
      </c>
      <c r="AK15" s="172">
        <f>IF(VLOOKUP(E15,'Pre-Assessment Estimator'!$E$11:$Z$228,'Pre-Assessment Estimator'!$U$2,FALSE)&gt;AB15,AB15,VLOOKUP(E15,'Pre-Assessment Estimator'!$E$11:$Z$228,'Pre-Assessment Estimator'!$U$2,FALSE))</f>
        <v>0</v>
      </c>
      <c r="AM15" s="1006"/>
      <c r="AN15" s="1007"/>
      <c r="AO15" s="1007"/>
      <c r="AP15" s="1004"/>
      <c r="AQ15" s="1002"/>
      <c r="AR15" s="137"/>
      <c r="AS15" s="1003"/>
      <c r="AT15" s="1004"/>
      <c r="AU15" s="1004"/>
      <c r="AV15" s="1004"/>
      <c r="AW15" s="1002"/>
      <c r="AX15" s="141"/>
      <c r="AY15" s="828"/>
      <c r="AZ15" s="829"/>
      <c r="BA15" s="829"/>
      <c r="BB15" s="183"/>
      <c r="BC15" s="183"/>
      <c r="BD15" s="182">
        <f t="shared" si="12"/>
        <v>9</v>
      </c>
      <c r="BE15" s="164" t="str">
        <f t="shared" si="6"/>
        <v>N/A</v>
      </c>
      <c r="BF15" s="185"/>
      <c r="BG15" s="182">
        <f t="shared" si="13"/>
        <v>9</v>
      </c>
      <c r="BH15" s="164" t="str">
        <f t="shared" si="8"/>
        <v>N/A</v>
      </c>
      <c r="BI15" s="185"/>
      <c r="BJ15" s="182">
        <f t="shared" si="14"/>
        <v>9</v>
      </c>
      <c r="BK15" s="164" t="str">
        <f t="shared" si="9"/>
        <v>N/A</v>
      </c>
      <c r="BL15" s="830"/>
      <c r="BO15" s="167"/>
      <c r="BP15" s="167"/>
      <c r="BQ15" s="167" t="str">
        <f t="shared" si="15"/>
        <v/>
      </c>
      <c r="BR15" s="167">
        <f t="shared" si="22"/>
        <v>9</v>
      </c>
      <c r="BS15" s="167">
        <f t="shared" si="17"/>
        <v>9</v>
      </c>
      <c r="BT15" s="167">
        <f t="shared" si="18"/>
        <v>9</v>
      </c>
      <c r="BW15" s="676"/>
      <c r="BX15" s="676"/>
      <c r="BY15" s="288"/>
      <c r="BZ15" s="288"/>
      <c r="CA15" s="288"/>
      <c r="CB15" s="288"/>
    </row>
    <row r="16" spans="1:90" x14ac:dyDescent="0.25">
      <c r="A16" s="96">
        <v>8</v>
      </c>
      <c r="B16" s="137" t="str">
        <f>D16</f>
        <v>Man 02</v>
      </c>
      <c r="C16" s="137" t="str">
        <f>B16</f>
        <v>Man 02</v>
      </c>
      <c r="D16" s="832" t="s">
        <v>92</v>
      </c>
      <c r="E16" s="832" t="s">
        <v>306</v>
      </c>
      <c r="F16" s="933">
        <f>SUM(F17:F18)</f>
        <v>3</v>
      </c>
      <c r="G16" s="933">
        <f t="shared" ref="G16:R16" si="23">SUM(G17:G18)</f>
        <v>3</v>
      </c>
      <c r="H16" s="933">
        <f t="shared" si="23"/>
        <v>3</v>
      </c>
      <c r="I16" s="933">
        <f t="shared" si="23"/>
        <v>3</v>
      </c>
      <c r="J16" s="933">
        <f t="shared" si="23"/>
        <v>3</v>
      </c>
      <c r="K16" s="933">
        <f t="shared" si="23"/>
        <v>3</v>
      </c>
      <c r="L16" s="933">
        <f t="shared" si="23"/>
        <v>3</v>
      </c>
      <c r="M16" s="933">
        <f t="shared" si="23"/>
        <v>3</v>
      </c>
      <c r="N16" s="933">
        <f t="shared" si="23"/>
        <v>3</v>
      </c>
      <c r="O16" s="933">
        <f t="shared" si="23"/>
        <v>3</v>
      </c>
      <c r="P16" s="933">
        <f t="shared" si="23"/>
        <v>3</v>
      </c>
      <c r="Q16" s="933">
        <f t="shared" ref="Q16" si="24">SUM(Q17:Q18)</f>
        <v>3</v>
      </c>
      <c r="R16" s="933">
        <f t="shared" si="23"/>
        <v>3</v>
      </c>
      <c r="S16" s="667"/>
      <c r="T16" s="919">
        <f t="shared" si="2"/>
        <v>3</v>
      </c>
      <c r="U16" s="166"/>
      <c r="V16" s="167"/>
      <c r="W16" s="167"/>
      <c r="X16" s="168">
        <f>'Manuell filtrering og justering'!E8</f>
        <v>0</v>
      </c>
      <c r="Y16" s="169"/>
      <c r="Z16" s="1175">
        <f t="shared" ref="Z16" si="25">SUM(Z17:Z18)</f>
        <v>3</v>
      </c>
      <c r="AA16" s="1167">
        <f t="shared" si="11"/>
        <v>0</v>
      </c>
      <c r="AB16" s="1171">
        <f t="shared" ref="AB16" si="26">SUM(AB17:AB18)</f>
        <v>3</v>
      </c>
      <c r="AD16" s="921">
        <f t="shared" si="4"/>
        <v>1.8571428571428572E-2</v>
      </c>
      <c r="AE16" s="921">
        <f>SUM(AE17:AE18)</f>
        <v>0</v>
      </c>
      <c r="AF16" s="921">
        <f>SUM(AF17:AF18)</f>
        <v>0</v>
      </c>
      <c r="AG16" s="921">
        <f>SUM(AG17:AG18)</f>
        <v>0</v>
      </c>
      <c r="AI16" s="922">
        <f t="shared" ref="AI16:AK16" si="27">SUM(AI17:AI18)</f>
        <v>0</v>
      </c>
      <c r="AJ16" s="922">
        <f t="shared" si="27"/>
        <v>0</v>
      </c>
      <c r="AK16" s="922">
        <f t="shared" si="27"/>
        <v>0</v>
      </c>
      <c r="AM16" s="1003"/>
      <c r="AN16" s="1004"/>
      <c r="AO16" s="1004"/>
      <c r="AP16" s="1004"/>
      <c r="AQ16" s="1002"/>
      <c r="AR16" s="137"/>
      <c r="AS16" s="1003"/>
      <c r="AT16" s="1004"/>
      <c r="AU16" s="1004"/>
      <c r="AV16" s="1004"/>
      <c r="AW16" s="1002"/>
      <c r="AX16" s="141"/>
      <c r="AY16" s="182"/>
      <c r="AZ16" s="183"/>
      <c r="BA16" s="183"/>
      <c r="BB16" s="183"/>
      <c r="BC16" s="184"/>
      <c r="BD16" s="182">
        <f>IF(BC16=0,9,IF(AI16&gt;=BC16,5,IF(AI16&gt;=BB16,4,IF(AI16&gt;=BA16,3,IF(AI16&gt;=AZ16,2,IF(AI16&lt;AY16,0,1))))))</f>
        <v>9</v>
      </c>
      <c r="BE16" s="164" t="str">
        <f t="shared" si="6"/>
        <v>N/A</v>
      </c>
      <c r="BF16" s="185"/>
      <c r="BG16" s="182">
        <f t="shared" si="7"/>
        <v>9</v>
      </c>
      <c r="BH16" s="164" t="str">
        <f t="shared" si="8"/>
        <v>N/A</v>
      </c>
      <c r="BI16" s="185"/>
      <c r="BJ16" s="182">
        <f t="shared" ref="BJ16:BJ164" si="28">IF(BC16=0,9,IF(AK16&gt;=BC16,5,IF(AK16&gt;=BB16,4,IF(AK16&gt;=BA16,3,IF(AK16&gt;=AZ16,2,IF(AK16&lt;AY16,0,1))))))</f>
        <v>9</v>
      </c>
      <c r="BK16" s="164" t="str">
        <f t="shared" si="9"/>
        <v>N/A</v>
      </c>
      <c r="BL16" s="185"/>
      <c r="BO16" s="167"/>
      <c r="BP16" s="167"/>
      <c r="BQ16" s="167" t="str">
        <f t="shared" si="15"/>
        <v/>
      </c>
      <c r="BR16" s="167">
        <f t="shared" si="22"/>
        <v>9</v>
      </c>
      <c r="BS16" s="167">
        <f t="shared" si="17"/>
        <v>9</v>
      </c>
      <c r="BT16" s="167">
        <f t="shared" si="18"/>
        <v>9</v>
      </c>
      <c r="BW16" s="677" t="str">
        <f>D16</f>
        <v>Man 02</v>
      </c>
      <c r="BX16" s="677" t="str">
        <f>IFERROR(VLOOKUP($E16,'Pre-Assessment Estimator'!$E$11:$AB$228,'Pre-Assessment Estimator'!AB$2,FALSE),"")</f>
        <v>No</v>
      </c>
      <c r="BY16" s="287">
        <f>IFERROR(VLOOKUP($E16,'Pre-Assessment Estimator'!$E$11:$AI$228,'Pre-Assessment Estimator'!AI$2,FALSE),"")</f>
        <v>0</v>
      </c>
      <c r="BZ16" s="287">
        <f>IFERROR(VLOOKUP($BX16,$E$294:$H$327,F$292,FALSE),"")</f>
        <v>1</v>
      </c>
      <c r="CA16" s="287">
        <f>IFERROR(VLOOKUP($BX16,$E$294:$H$327,G$292,FALSE),"")</f>
        <v>0</v>
      </c>
      <c r="CB16" s="287"/>
      <c r="CC16" s="96" t="str">
        <f>IFERROR(VLOOKUP($BX16,$E$294:$H$327,I$292,FALSE),"")</f>
        <v/>
      </c>
    </row>
    <row r="17" spans="1:81" x14ac:dyDescent="0.25">
      <c r="A17" s="96">
        <v>9</v>
      </c>
      <c r="B17" s="96" t="str">
        <f t="shared" ref="B17:B18" si="29">$D$16&amp;D17</f>
        <v>Man 02a</v>
      </c>
      <c r="C17" s="96" t="str">
        <f t="shared" si="19"/>
        <v>Man 02</v>
      </c>
      <c r="D17" s="167" t="s">
        <v>692</v>
      </c>
      <c r="E17" s="1107" t="s">
        <v>590</v>
      </c>
      <c r="F17" s="775">
        <v>2</v>
      </c>
      <c r="G17" s="775">
        <v>2</v>
      </c>
      <c r="H17" s="775">
        <v>2</v>
      </c>
      <c r="I17" s="775">
        <v>2</v>
      </c>
      <c r="J17" s="775">
        <v>2</v>
      </c>
      <c r="K17" s="775">
        <v>2</v>
      </c>
      <c r="L17" s="775">
        <v>2</v>
      </c>
      <c r="M17" s="775">
        <v>2</v>
      </c>
      <c r="N17" s="775">
        <v>2</v>
      </c>
      <c r="O17" s="775">
        <v>2</v>
      </c>
      <c r="P17" s="775">
        <v>2</v>
      </c>
      <c r="Q17" s="775">
        <v>2</v>
      </c>
      <c r="R17" s="775">
        <v>2</v>
      </c>
      <c r="S17" s="667"/>
      <c r="T17" s="165">
        <f t="shared" si="2"/>
        <v>2</v>
      </c>
      <c r="U17" s="166"/>
      <c r="V17" s="167"/>
      <c r="W17" s="167"/>
      <c r="X17" s="168"/>
      <c r="Y17" s="169"/>
      <c r="Z17" s="1158">
        <f>VLOOKUP(B17,'Manuell filtrering og justering'!$A$7:$H$107,'Manuell filtrering og justering'!$H$1,FALSE)</f>
        <v>2</v>
      </c>
      <c r="AA17" s="1167">
        <f t="shared" si="11"/>
        <v>0</v>
      </c>
      <c r="AB17" s="185">
        <f>IF($AC$5='Manuell filtrering og justering'!$J$2,Z17,(T17-AA17))</f>
        <v>2</v>
      </c>
      <c r="AD17" s="171">
        <f t="shared" si="4"/>
        <v>1.2380952380952381E-2</v>
      </c>
      <c r="AE17" s="171">
        <f>IF(AB17=0,0,(AD17/AB17)*AI17)</f>
        <v>0</v>
      </c>
      <c r="AF17" s="171">
        <f t="shared" si="20"/>
        <v>0</v>
      </c>
      <c r="AG17" s="171">
        <f t="shared" si="21"/>
        <v>0</v>
      </c>
      <c r="AI17" s="172">
        <f>IF(VLOOKUP(E17,'Pre-Assessment Estimator'!$E$11:$Z$228,'Pre-Assessment Estimator'!$G$2,FALSE)&gt;AB17,AB17,VLOOKUP(E17,'Pre-Assessment Estimator'!$E$11:$Z$228,'Pre-Assessment Estimator'!$G$2,FALSE))</f>
        <v>0</v>
      </c>
      <c r="AJ17" s="172">
        <f>IF(VLOOKUP(E17,'Pre-Assessment Estimator'!$E$11:$Z$228,'Pre-Assessment Estimator'!$N$2,FALSE)&gt;AB17,AB17,VLOOKUP(E17,'Pre-Assessment Estimator'!$E$11:$Z$228,'Pre-Assessment Estimator'!$N$2,FALSE))</f>
        <v>0</v>
      </c>
      <c r="AK17" s="172">
        <f>IF(VLOOKUP(E17,'Pre-Assessment Estimator'!$E$11:$Z$228,'Pre-Assessment Estimator'!$U$2,FALSE)&gt;AB17,AB17,VLOOKUP(E17,'Pre-Assessment Estimator'!$E$11:$Z$228,'Pre-Assessment Estimator'!$U$2,FALSE))</f>
        <v>0</v>
      </c>
      <c r="AM17" s="1003"/>
      <c r="AN17" s="1004"/>
      <c r="AO17" s="1004"/>
      <c r="AP17" s="1004"/>
      <c r="AQ17" s="1002"/>
      <c r="AR17" s="137"/>
      <c r="AS17" s="1003"/>
      <c r="AT17" s="1004"/>
      <c r="AU17" s="1004"/>
      <c r="AV17" s="1004"/>
      <c r="AW17" s="1002"/>
      <c r="AX17" s="141"/>
      <c r="AY17" s="182"/>
      <c r="AZ17" s="183"/>
      <c r="BA17" s="183"/>
      <c r="BB17" s="183"/>
      <c r="BC17" s="184"/>
      <c r="BD17" s="182">
        <f t="shared" ref="BD17:BD34" si="30">IF(BC17=0,9,IF(AI17&gt;=BC17,5,IF(AI17&gt;=BB17,4,IF(AI17&gt;=BA17,3,IF(AI17&gt;=AZ17,2,IF(AI17&lt;AY17,0,1))))))</f>
        <v>9</v>
      </c>
      <c r="BE17" s="164" t="str">
        <f t="shared" si="6"/>
        <v>N/A</v>
      </c>
      <c r="BF17" s="185"/>
      <c r="BG17" s="182">
        <f t="shared" si="7"/>
        <v>9</v>
      </c>
      <c r="BH17" s="164" t="str">
        <f t="shared" si="8"/>
        <v>N/A</v>
      </c>
      <c r="BI17" s="185"/>
      <c r="BJ17" s="182">
        <f t="shared" si="28"/>
        <v>9</v>
      </c>
      <c r="BK17" s="164" t="str">
        <f t="shared" si="9"/>
        <v>N/A</v>
      </c>
      <c r="BL17" s="185"/>
      <c r="BO17" s="167"/>
      <c r="BP17" s="167"/>
      <c r="BQ17" s="167" t="str">
        <f t="shared" si="15"/>
        <v/>
      </c>
      <c r="BR17" s="167">
        <f t="shared" si="22"/>
        <v>9</v>
      </c>
      <c r="BS17" s="167">
        <f t="shared" si="17"/>
        <v>9</v>
      </c>
      <c r="BT17" s="167">
        <f t="shared" si="18"/>
        <v>9</v>
      </c>
      <c r="BW17" s="677"/>
      <c r="BX17" s="677"/>
      <c r="BY17" s="287"/>
      <c r="BZ17" s="287"/>
      <c r="CA17" s="287"/>
      <c r="CB17" s="287"/>
    </row>
    <row r="18" spans="1:81" x14ac:dyDescent="0.25">
      <c r="A18" s="96">
        <v>10</v>
      </c>
      <c r="B18" s="96" t="str">
        <f t="shared" si="29"/>
        <v>Man 02b</v>
      </c>
      <c r="C18" s="96" t="str">
        <f t="shared" si="19"/>
        <v>Man 02</v>
      </c>
      <c r="D18" s="167" t="s">
        <v>695</v>
      </c>
      <c r="E18" s="1107" t="s">
        <v>591</v>
      </c>
      <c r="F18" s="775">
        <v>1</v>
      </c>
      <c r="G18" s="775">
        <v>1</v>
      </c>
      <c r="H18" s="775">
        <v>1</v>
      </c>
      <c r="I18" s="775">
        <v>1</v>
      </c>
      <c r="J18" s="775">
        <v>1</v>
      </c>
      <c r="K18" s="775">
        <v>1</v>
      </c>
      <c r="L18" s="775">
        <v>1</v>
      </c>
      <c r="M18" s="775">
        <v>1</v>
      </c>
      <c r="N18" s="775">
        <v>1</v>
      </c>
      <c r="O18" s="775">
        <v>1</v>
      </c>
      <c r="P18" s="775">
        <v>1</v>
      </c>
      <c r="Q18" s="775">
        <v>1</v>
      </c>
      <c r="R18" s="775">
        <v>1</v>
      </c>
      <c r="S18" s="667"/>
      <c r="T18" s="165">
        <f t="shared" si="2"/>
        <v>1</v>
      </c>
      <c r="U18" s="166"/>
      <c r="V18" s="167"/>
      <c r="W18" s="167"/>
      <c r="X18" s="168"/>
      <c r="Y18" s="169"/>
      <c r="Z18" s="1158">
        <f>VLOOKUP(B18,'Manuell filtrering og justering'!$A$7:$H$107,'Manuell filtrering og justering'!$H$1,FALSE)</f>
        <v>1</v>
      </c>
      <c r="AA18" s="1167">
        <f t="shared" si="11"/>
        <v>0</v>
      </c>
      <c r="AB18" s="185">
        <f>IF($AC$5='Manuell filtrering og justering'!$J$2,Z18,(T18-AA18))</f>
        <v>1</v>
      </c>
      <c r="AD18" s="171">
        <f t="shared" si="4"/>
        <v>6.1904761904761907E-3</v>
      </c>
      <c r="AE18" s="171">
        <f>IF(AB18=0,0,(AD18/AB18)*AI18)</f>
        <v>0</v>
      </c>
      <c r="AF18" s="171">
        <f t="shared" si="20"/>
        <v>0</v>
      </c>
      <c r="AG18" s="171">
        <f t="shared" si="21"/>
        <v>0</v>
      </c>
      <c r="AI18" s="172">
        <f>IF(VLOOKUP(E18,'Pre-Assessment Estimator'!$E$11:$Z$228,'Pre-Assessment Estimator'!$G$2,FALSE)&gt;AB18,AB18,VLOOKUP(E18,'Pre-Assessment Estimator'!$E$11:$Z$228,'Pre-Assessment Estimator'!$G$2,FALSE))</f>
        <v>0</v>
      </c>
      <c r="AJ18" s="172">
        <f>IF(VLOOKUP(E18,'Pre-Assessment Estimator'!$E$11:$Z$228,'Pre-Assessment Estimator'!$N$2,FALSE)&gt;AB18,AB18,VLOOKUP(E18,'Pre-Assessment Estimator'!$E$11:$Z$228,'Pre-Assessment Estimator'!$N$2,FALSE))</f>
        <v>0</v>
      </c>
      <c r="AK18" s="172">
        <f>IF(VLOOKUP(E18,'Pre-Assessment Estimator'!$E$11:$Z$228,'Pre-Assessment Estimator'!$U$2,FALSE)&gt;AB18,AB18,VLOOKUP(E18,'Pre-Assessment Estimator'!$E$11:$Z$228,'Pre-Assessment Estimator'!$U$2,FALSE))</f>
        <v>0</v>
      </c>
      <c r="AM18" s="1003"/>
      <c r="AN18" s="1004"/>
      <c r="AO18" s="1004"/>
      <c r="AP18" s="1004"/>
      <c r="AQ18" s="1002"/>
      <c r="AR18" s="137"/>
      <c r="AS18" s="1003"/>
      <c r="AT18" s="1004"/>
      <c r="AU18" s="1004"/>
      <c r="AV18" s="1004"/>
      <c r="AW18" s="1002"/>
      <c r="AX18" s="141"/>
      <c r="AY18" s="182"/>
      <c r="AZ18" s="183"/>
      <c r="BA18" s="183"/>
      <c r="BB18" s="183"/>
      <c r="BC18" s="184"/>
      <c r="BD18" s="182">
        <f t="shared" si="30"/>
        <v>9</v>
      </c>
      <c r="BE18" s="164" t="str">
        <f t="shared" si="6"/>
        <v>N/A</v>
      </c>
      <c r="BF18" s="185"/>
      <c r="BG18" s="182">
        <f t="shared" si="7"/>
        <v>9</v>
      </c>
      <c r="BH18" s="164" t="str">
        <f t="shared" si="8"/>
        <v>N/A</v>
      </c>
      <c r="BI18" s="185"/>
      <c r="BJ18" s="182">
        <f t="shared" si="28"/>
        <v>9</v>
      </c>
      <c r="BK18" s="164" t="str">
        <f t="shared" si="9"/>
        <v>N/A</v>
      </c>
      <c r="BL18" s="185"/>
      <c r="BO18" s="167"/>
      <c r="BP18" s="167"/>
      <c r="BQ18" s="167" t="str">
        <f t="shared" si="15"/>
        <v/>
      </c>
      <c r="BR18" s="167">
        <f t="shared" si="22"/>
        <v>9</v>
      </c>
      <c r="BS18" s="167">
        <f t="shared" si="17"/>
        <v>9</v>
      </c>
      <c r="BT18" s="167">
        <f t="shared" si="18"/>
        <v>9</v>
      </c>
      <c r="BW18" s="677"/>
      <c r="BX18" s="677"/>
      <c r="BY18" s="287"/>
      <c r="BZ18" s="287"/>
      <c r="CA18" s="287"/>
      <c r="CB18" s="287"/>
    </row>
    <row r="19" spans="1:81" x14ac:dyDescent="0.25">
      <c r="A19" s="96">
        <v>11</v>
      </c>
      <c r="B19" s="137" t="str">
        <f>D19</f>
        <v>Man 03</v>
      </c>
      <c r="C19" s="137" t="str">
        <f>B19</f>
        <v>Man 03</v>
      </c>
      <c r="D19" s="832" t="s">
        <v>93</v>
      </c>
      <c r="E19" s="832" t="s">
        <v>307</v>
      </c>
      <c r="F19" s="933">
        <f>SUM(F20:F25)</f>
        <v>7</v>
      </c>
      <c r="G19" s="933">
        <f t="shared" ref="G19:R19" si="31">SUM(G20:G25)</f>
        <v>7</v>
      </c>
      <c r="H19" s="933">
        <f t="shared" si="31"/>
        <v>7</v>
      </c>
      <c r="I19" s="933">
        <f t="shared" si="31"/>
        <v>7</v>
      </c>
      <c r="J19" s="933">
        <f t="shared" si="31"/>
        <v>7</v>
      </c>
      <c r="K19" s="933">
        <f t="shared" si="31"/>
        <v>7</v>
      </c>
      <c r="L19" s="933">
        <f t="shared" si="31"/>
        <v>7</v>
      </c>
      <c r="M19" s="933">
        <f t="shared" si="31"/>
        <v>7</v>
      </c>
      <c r="N19" s="933">
        <f t="shared" si="31"/>
        <v>7</v>
      </c>
      <c r="O19" s="933">
        <f t="shared" si="31"/>
        <v>7</v>
      </c>
      <c r="P19" s="933">
        <f t="shared" si="31"/>
        <v>7</v>
      </c>
      <c r="Q19" s="933">
        <f t="shared" ref="Q19" si="32">SUM(Q20:Q25)</f>
        <v>7</v>
      </c>
      <c r="R19" s="933">
        <f t="shared" si="31"/>
        <v>7</v>
      </c>
      <c r="T19" s="919">
        <f t="shared" si="2"/>
        <v>7</v>
      </c>
      <c r="U19" s="166"/>
      <c r="V19" s="167"/>
      <c r="W19" s="167"/>
      <c r="X19" s="168">
        <f>'Manuell filtrering og justering'!E9</f>
        <v>0</v>
      </c>
      <c r="Y19" s="169"/>
      <c r="Z19" s="1175">
        <f>SUM(Z20:Z25)</f>
        <v>7</v>
      </c>
      <c r="AA19" s="1167">
        <f t="shared" si="11"/>
        <v>0</v>
      </c>
      <c r="AB19" s="1171">
        <f>SUM(AB20:AB25)</f>
        <v>7</v>
      </c>
      <c r="AD19" s="921">
        <f t="shared" si="4"/>
        <v>4.3333333333333335E-2</v>
      </c>
      <c r="AE19" s="921">
        <f>SUM(AE20:AE25)</f>
        <v>0</v>
      </c>
      <c r="AF19" s="921">
        <f>SUM(AF20:AF25)</f>
        <v>0</v>
      </c>
      <c r="AG19" s="921">
        <f>SUM(AG20:AG25)</f>
        <v>0</v>
      </c>
      <c r="AI19" s="922">
        <f t="shared" ref="AI19:AK19" si="33">SUM(AI20:AI25)</f>
        <v>0</v>
      </c>
      <c r="AJ19" s="922">
        <f t="shared" si="33"/>
        <v>0</v>
      </c>
      <c r="AK19" s="922">
        <f t="shared" si="33"/>
        <v>0</v>
      </c>
      <c r="AM19" s="1003"/>
      <c r="AN19" s="1004"/>
      <c r="AO19" s="1004"/>
      <c r="AP19" s="1004"/>
      <c r="AQ19" s="1002"/>
      <c r="AR19" s="137"/>
      <c r="AS19" s="1003"/>
      <c r="AT19" s="1004"/>
      <c r="AU19" s="1004"/>
      <c r="AV19" s="1004"/>
      <c r="AW19" s="1002"/>
      <c r="AX19" s="141"/>
      <c r="AY19" s="182"/>
      <c r="AZ19" s="183"/>
      <c r="BA19" s="183"/>
      <c r="BB19" s="183"/>
      <c r="BC19" s="184"/>
      <c r="BD19" s="182">
        <f t="shared" si="30"/>
        <v>9</v>
      </c>
      <c r="BE19" s="164" t="str">
        <f t="shared" si="6"/>
        <v>N/A</v>
      </c>
      <c r="BF19" s="185"/>
      <c r="BG19" s="182">
        <f t="shared" si="7"/>
        <v>9</v>
      </c>
      <c r="BH19" s="164" t="str">
        <f t="shared" si="8"/>
        <v>N/A</v>
      </c>
      <c r="BI19" s="185"/>
      <c r="BJ19" s="182">
        <f t="shared" si="28"/>
        <v>9</v>
      </c>
      <c r="BK19" s="164" t="str">
        <f t="shared" si="9"/>
        <v>N/A</v>
      </c>
      <c r="BL19" s="185"/>
      <c r="BO19" s="167"/>
      <c r="BP19" s="167"/>
      <c r="BQ19" s="167" t="str">
        <f t="shared" si="15"/>
        <v/>
      </c>
      <c r="BR19" s="167">
        <f t="shared" si="22"/>
        <v>9</v>
      </c>
      <c r="BS19" s="167">
        <f t="shared" si="17"/>
        <v>9</v>
      </c>
      <c r="BT19" s="167">
        <f t="shared" si="18"/>
        <v>9</v>
      </c>
      <c r="BW19" s="677" t="str">
        <f>D19</f>
        <v>Man 03</v>
      </c>
      <c r="BX19" s="677" t="str">
        <f>IFERROR(VLOOKUP($E19,'Pre-Assessment Estimator'!$E$11:$AB$228,'Pre-Assessment Estimator'!AB$2,FALSE),"")</f>
        <v>N/A</v>
      </c>
      <c r="BY19" s="287">
        <f>IFERROR(VLOOKUP($E19,'Pre-Assessment Estimator'!$E$11:$AI$228,'Pre-Assessment Estimator'!AI$2,FALSE),"")</f>
        <v>0</v>
      </c>
      <c r="BZ19" s="287">
        <f>IFERROR(VLOOKUP($BX19,$E$294:$H$327,F$292,FALSE),"")</f>
        <v>1</v>
      </c>
      <c r="CA19" s="287">
        <f>IFERROR(VLOOKUP($BX19,$E$294:$H$327,G$292,FALSE),"")</f>
        <v>0</v>
      </c>
      <c r="CB19" s="287"/>
      <c r="CC19" s="96" t="str">
        <f>IFERROR(VLOOKUP($BX19,$E$294:$H$327,I$292,FALSE),"")</f>
        <v/>
      </c>
    </row>
    <row r="20" spans="1:81" x14ac:dyDescent="0.25">
      <c r="A20" s="96">
        <v>12</v>
      </c>
      <c r="B20" s="96" t="str">
        <f t="shared" ref="B20:B25" si="34">$D$19&amp;D20</f>
        <v>Man 03a</v>
      </c>
      <c r="C20" s="96" t="str">
        <f t="shared" si="19"/>
        <v>Man 03</v>
      </c>
      <c r="D20" s="167" t="s">
        <v>692</v>
      </c>
      <c r="E20" s="1107" t="s">
        <v>592</v>
      </c>
      <c r="F20" s="775">
        <v>1</v>
      </c>
      <c r="G20" s="775">
        <v>1</v>
      </c>
      <c r="H20" s="775">
        <v>1</v>
      </c>
      <c r="I20" s="775">
        <v>1</v>
      </c>
      <c r="J20" s="775">
        <v>1</v>
      </c>
      <c r="K20" s="775">
        <v>1</v>
      </c>
      <c r="L20" s="775">
        <v>1</v>
      </c>
      <c r="M20" s="775">
        <v>1</v>
      </c>
      <c r="N20" s="775">
        <v>1</v>
      </c>
      <c r="O20" s="775">
        <v>1</v>
      </c>
      <c r="P20" s="775">
        <v>1</v>
      </c>
      <c r="Q20" s="775">
        <v>1</v>
      </c>
      <c r="R20" s="775">
        <v>1</v>
      </c>
      <c r="T20" s="165">
        <f t="shared" si="2"/>
        <v>1</v>
      </c>
      <c r="U20" s="166"/>
      <c r="V20" s="167"/>
      <c r="W20" s="167"/>
      <c r="X20" s="168"/>
      <c r="Y20" s="169"/>
      <c r="Z20" s="1158">
        <f>VLOOKUP(B20,'Manuell filtrering og justering'!$A$7:$H$107,'Manuell filtrering og justering'!$H$1,FALSE)</f>
        <v>1</v>
      </c>
      <c r="AA20" s="1167">
        <f t="shared" si="11"/>
        <v>0</v>
      </c>
      <c r="AB20" s="185">
        <f>IF($AC$5='Manuell filtrering og justering'!$J$2,Z20,(T20-AA20))</f>
        <v>1</v>
      </c>
      <c r="AD20" s="171">
        <f t="shared" si="4"/>
        <v>6.1904761904761907E-3</v>
      </c>
      <c r="AE20" s="171">
        <f>IF(AB20=0,0,(AD20/AB20)*AI20)</f>
        <v>0</v>
      </c>
      <c r="AF20" s="171">
        <f t="shared" si="20"/>
        <v>0</v>
      </c>
      <c r="AG20" s="171">
        <f t="shared" si="21"/>
        <v>0</v>
      </c>
      <c r="AI20" s="172">
        <f>IF(VLOOKUP(E20,'Pre-Assessment Estimator'!$E$11:$Z$228,'Pre-Assessment Estimator'!$G$2,FALSE)&gt;AB20,AB20,VLOOKUP(E20,'Pre-Assessment Estimator'!$E$11:$Z$228,'Pre-Assessment Estimator'!$G$2,FALSE))</f>
        <v>0</v>
      </c>
      <c r="AJ20" s="172">
        <f>IF(VLOOKUP(E20,'Pre-Assessment Estimator'!$E$11:$Z$228,'Pre-Assessment Estimator'!$N$2,FALSE)&gt;AB20,AB20,VLOOKUP(E20,'Pre-Assessment Estimator'!$E$11:$Z$228,'Pre-Assessment Estimator'!$N$2,FALSE))</f>
        <v>0</v>
      </c>
      <c r="AK20" s="172">
        <f>IF(VLOOKUP(E20,'Pre-Assessment Estimator'!$E$11:$Z$228,'Pre-Assessment Estimator'!$U$2,FALSE)&gt;AB20,AB20,VLOOKUP(E20,'Pre-Assessment Estimator'!$E$11:$Z$228,'Pre-Assessment Estimator'!$U$2,FALSE))</f>
        <v>0</v>
      </c>
      <c r="AM20" s="1003"/>
      <c r="AN20" s="1004"/>
      <c r="AO20" s="1004"/>
      <c r="AP20" s="1004"/>
      <c r="AQ20" s="1002"/>
      <c r="AR20" s="137"/>
      <c r="AS20" s="1003"/>
      <c r="AT20" s="1004"/>
      <c r="AU20" s="1004"/>
      <c r="AV20" s="1004"/>
      <c r="AW20" s="1002"/>
      <c r="AX20" s="141"/>
      <c r="AY20" s="182"/>
      <c r="AZ20" s="183"/>
      <c r="BA20" s="183"/>
      <c r="BB20" s="183"/>
      <c r="BC20" s="184"/>
      <c r="BD20" s="182">
        <f t="shared" si="30"/>
        <v>9</v>
      </c>
      <c r="BE20" s="164" t="str">
        <f t="shared" si="6"/>
        <v>N/A</v>
      </c>
      <c r="BF20" s="185"/>
      <c r="BG20" s="182">
        <f t="shared" si="7"/>
        <v>9</v>
      </c>
      <c r="BH20" s="164" t="str">
        <f t="shared" si="8"/>
        <v>N/A</v>
      </c>
      <c r="BI20" s="185"/>
      <c r="BJ20" s="182">
        <f t="shared" si="28"/>
        <v>9</v>
      </c>
      <c r="BK20" s="164" t="str">
        <f t="shared" si="9"/>
        <v>N/A</v>
      </c>
      <c r="BL20" s="185"/>
      <c r="BO20" s="167"/>
      <c r="BP20" s="167"/>
      <c r="BQ20" s="167" t="str">
        <f t="shared" si="15"/>
        <v/>
      </c>
      <c r="BR20" s="167">
        <f t="shared" si="22"/>
        <v>9</v>
      </c>
      <c r="BS20" s="167">
        <f t="shared" si="17"/>
        <v>9</v>
      </c>
      <c r="BT20" s="167">
        <f t="shared" si="18"/>
        <v>9</v>
      </c>
      <c r="BW20" s="677"/>
      <c r="BX20" s="677"/>
      <c r="BY20" s="287"/>
      <c r="BZ20" s="287"/>
      <c r="CA20" s="287"/>
      <c r="CB20" s="287"/>
    </row>
    <row r="21" spans="1:81" x14ac:dyDescent="0.25">
      <c r="A21" s="96">
        <v>13</v>
      </c>
      <c r="B21" s="96" t="str">
        <f t="shared" si="34"/>
        <v>Man 03b</v>
      </c>
      <c r="C21" s="96" t="str">
        <f t="shared" si="19"/>
        <v>Man 03</v>
      </c>
      <c r="D21" s="167" t="s">
        <v>695</v>
      </c>
      <c r="E21" s="1107" t="s">
        <v>954</v>
      </c>
      <c r="F21" s="775">
        <v>1</v>
      </c>
      <c r="G21" s="775">
        <v>1</v>
      </c>
      <c r="H21" s="775">
        <v>1</v>
      </c>
      <c r="I21" s="775">
        <v>1</v>
      </c>
      <c r="J21" s="775">
        <v>1</v>
      </c>
      <c r="K21" s="775">
        <v>1</v>
      </c>
      <c r="L21" s="775">
        <v>1</v>
      </c>
      <c r="M21" s="775">
        <v>1</v>
      </c>
      <c r="N21" s="775">
        <v>1</v>
      </c>
      <c r="O21" s="775">
        <v>1</v>
      </c>
      <c r="P21" s="775">
        <v>1</v>
      </c>
      <c r="Q21" s="775">
        <v>1</v>
      </c>
      <c r="R21" s="775">
        <v>1</v>
      </c>
      <c r="T21" s="165">
        <f t="shared" si="2"/>
        <v>1</v>
      </c>
      <c r="U21" s="166"/>
      <c r="V21" s="167"/>
      <c r="W21" s="167"/>
      <c r="X21" s="168"/>
      <c r="Y21" s="169"/>
      <c r="Z21" s="1158">
        <f>VLOOKUP(B21,'Manuell filtrering og justering'!$A$7:$H$107,'Manuell filtrering og justering'!$H$1,FALSE)</f>
        <v>1</v>
      </c>
      <c r="AA21" s="1167">
        <f t="shared" si="11"/>
        <v>0</v>
      </c>
      <c r="AB21" s="185">
        <f>IF($AC$5='Manuell filtrering og justering'!$J$2,Z21,(T21-AA21))</f>
        <v>1</v>
      </c>
      <c r="AD21" s="171">
        <f t="shared" si="4"/>
        <v>6.1904761904761907E-3</v>
      </c>
      <c r="AE21" s="171">
        <f>IF(AB21=0,0,(AD21/AB21)*AI21)</f>
        <v>0</v>
      </c>
      <c r="AF21" s="171">
        <f t="shared" si="20"/>
        <v>0</v>
      </c>
      <c r="AG21" s="171">
        <f t="shared" si="21"/>
        <v>0</v>
      </c>
      <c r="AI21" s="172">
        <f>IF(VLOOKUP(E21,'Pre-Assessment Estimator'!$E$11:$Z$228,'Pre-Assessment Estimator'!$G$2,FALSE)&gt;AB21,AB21,VLOOKUP(E21,'Pre-Assessment Estimator'!$E$11:$Z$228,'Pre-Assessment Estimator'!$G$2,FALSE))</f>
        <v>0</v>
      </c>
      <c r="AJ21" s="172">
        <f>IF(VLOOKUP(E21,'Pre-Assessment Estimator'!$E$11:$Z$228,'Pre-Assessment Estimator'!$N$2,FALSE)&gt;AB21,AB21,VLOOKUP(E21,'Pre-Assessment Estimator'!$E$11:$Z$228,'Pre-Assessment Estimator'!$N$2,FALSE))</f>
        <v>0</v>
      </c>
      <c r="AK21" s="172">
        <f>IF(VLOOKUP(E21,'Pre-Assessment Estimator'!$E$11:$Z$228,'Pre-Assessment Estimator'!$U$2,FALSE)&gt;AB21,AB21,VLOOKUP(E21,'Pre-Assessment Estimator'!$E$11:$Z$228,'Pre-Assessment Estimator'!$U$2,FALSE))</f>
        <v>0</v>
      </c>
      <c r="AM21" s="1003"/>
      <c r="AN21" s="1004"/>
      <c r="AO21" s="1004"/>
      <c r="AP21" s="1004"/>
      <c r="AQ21" s="1002"/>
      <c r="AR21" s="137"/>
      <c r="AS21" s="1003"/>
      <c r="AT21" s="1004"/>
      <c r="AU21" s="1004"/>
      <c r="AV21" s="1004"/>
      <c r="AW21" s="1002"/>
      <c r="AX21" s="141"/>
      <c r="AY21" s="182"/>
      <c r="AZ21" s="183"/>
      <c r="BA21" s="183"/>
      <c r="BB21" s="183"/>
      <c r="BC21" s="184"/>
      <c r="BD21" s="182">
        <f t="shared" si="30"/>
        <v>9</v>
      </c>
      <c r="BE21" s="164" t="str">
        <f t="shared" si="6"/>
        <v>N/A</v>
      </c>
      <c r="BF21" s="185"/>
      <c r="BG21" s="182">
        <f t="shared" si="7"/>
        <v>9</v>
      </c>
      <c r="BH21" s="164" t="str">
        <f t="shared" si="8"/>
        <v>N/A</v>
      </c>
      <c r="BI21" s="185"/>
      <c r="BJ21" s="182">
        <f t="shared" si="28"/>
        <v>9</v>
      </c>
      <c r="BK21" s="164" t="str">
        <f t="shared" si="9"/>
        <v>N/A</v>
      </c>
      <c r="BL21" s="185"/>
      <c r="BO21" s="167"/>
      <c r="BP21" s="167"/>
      <c r="BQ21" s="167" t="str">
        <f t="shared" si="15"/>
        <v/>
      </c>
      <c r="BR21" s="167">
        <f t="shared" si="22"/>
        <v>9</v>
      </c>
      <c r="BS21" s="167">
        <f t="shared" si="17"/>
        <v>9</v>
      </c>
      <c r="BT21" s="167">
        <f t="shared" si="18"/>
        <v>9</v>
      </c>
      <c r="BW21" s="677"/>
      <c r="BX21" s="677"/>
      <c r="BY21" s="287"/>
      <c r="BZ21" s="287"/>
      <c r="CA21" s="287"/>
      <c r="CB21" s="287"/>
    </row>
    <row r="22" spans="1:81" x14ac:dyDescent="0.25">
      <c r="A22" s="96">
        <v>14</v>
      </c>
      <c r="B22" s="96" t="str">
        <f t="shared" si="34"/>
        <v>Man 03c</v>
      </c>
      <c r="C22" s="96" t="str">
        <f t="shared" si="19"/>
        <v>Man 03</v>
      </c>
      <c r="D22" s="167" t="s">
        <v>696</v>
      </c>
      <c r="E22" s="1248" t="s">
        <v>1130</v>
      </c>
      <c r="F22" s="775">
        <v>1</v>
      </c>
      <c r="G22" s="775">
        <v>1</v>
      </c>
      <c r="H22" s="775">
        <v>1</v>
      </c>
      <c r="I22" s="775">
        <v>1</v>
      </c>
      <c r="J22" s="775">
        <v>1</v>
      </c>
      <c r="K22" s="775">
        <v>1</v>
      </c>
      <c r="L22" s="775">
        <v>1</v>
      </c>
      <c r="M22" s="775">
        <v>1</v>
      </c>
      <c r="N22" s="775">
        <v>1</v>
      </c>
      <c r="O22" s="775">
        <v>1</v>
      </c>
      <c r="P22" s="775">
        <v>1</v>
      </c>
      <c r="Q22" s="775">
        <v>1</v>
      </c>
      <c r="R22" s="775">
        <v>1</v>
      </c>
      <c r="T22" s="165">
        <f t="shared" si="2"/>
        <v>1</v>
      </c>
      <c r="U22" s="166"/>
      <c r="V22" s="167"/>
      <c r="W22" s="167"/>
      <c r="X22" s="168"/>
      <c r="Y22" s="169"/>
      <c r="Z22" s="1158">
        <f>VLOOKUP(B22,'Manuell filtrering og justering'!$A$7:$H$107,'Manuell filtrering og justering'!$H$1,FALSE)</f>
        <v>1</v>
      </c>
      <c r="AA22" s="1167">
        <f t="shared" si="11"/>
        <v>0</v>
      </c>
      <c r="AB22" s="185">
        <f>IF($AC$5='Manuell filtrering og justering'!$J$2,Z22,(T22-AA22))</f>
        <v>1</v>
      </c>
      <c r="AD22" s="171">
        <f t="shared" si="4"/>
        <v>6.1904761904761907E-3</v>
      </c>
      <c r="AE22" s="171">
        <f>IF(AB22=0,0,(AD22/AB22)*AI22)</f>
        <v>0</v>
      </c>
      <c r="AF22" s="171">
        <f t="shared" si="20"/>
        <v>0</v>
      </c>
      <c r="AG22" s="171">
        <f t="shared" si="21"/>
        <v>0</v>
      </c>
      <c r="AI22" s="172">
        <f>IF(VLOOKUP(E22,'Pre-Assessment Estimator'!$E$11:$Z$228,'Pre-Assessment Estimator'!$G$2,FALSE)&gt;AB22,AB22,VLOOKUP(E22,'Pre-Assessment Estimator'!$E$11:$Z$228,'Pre-Assessment Estimator'!$G$2,FALSE))</f>
        <v>0</v>
      </c>
      <c r="AJ22" s="172">
        <f>IF(VLOOKUP(E22,'Pre-Assessment Estimator'!$E$11:$Z$228,'Pre-Assessment Estimator'!$N$2,FALSE)&gt;AB22,AB22,VLOOKUP(E22,'Pre-Assessment Estimator'!$E$11:$Z$228,'Pre-Assessment Estimator'!$N$2,FALSE))</f>
        <v>0</v>
      </c>
      <c r="AK22" s="172">
        <f>IF(VLOOKUP(E22,'Pre-Assessment Estimator'!$E$11:$Z$228,'Pre-Assessment Estimator'!$U$2,FALSE)&gt;AB22,AB22,VLOOKUP(E22,'Pre-Assessment Estimator'!$E$11:$Z$228,'Pre-Assessment Estimator'!$U$2,FALSE))</f>
        <v>0</v>
      </c>
      <c r="AM22" s="1003">
        <v>1</v>
      </c>
      <c r="AN22" s="1004">
        <v>1</v>
      </c>
      <c r="AO22" s="1004">
        <v>1</v>
      </c>
      <c r="AP22" s="1004">
        <v>1</v>
      </c>
      <c r="AQ22" s="1002">
        <v>1</v>
      </c>
      <c r="AR22" s="137"/>
      <c r="AS22" s="1003">
        <v>1</v>
      </c>
      <c r="AT22" s="1004">
        <v>1</v>
      </c>
      <c r="AU22" s="1004">
        <v>1</v>
      </c>
      <c r="AV22" s="1004">
        <v>1</v>
      </c>
      <c r="AW22" s="1002">
        <v>1</v>
      </c>
      <c r="AX22" s="141"/>
      <c r="AY22" s="183">
        <f>IF($E$6=$H$9,AS22,AM22)</f>
        <v>1</v>
      </c>
      <c r="AZ22" s="183">
        <f>IF($E$6=$H$9,AT22,AN22)</f>
        <v>1</v>
      </c>
      <c r="BA22" s="183">
        <f>IF($E$6=$H$9,AU22,AO22)</f>
        <v>1</v>
      </c>
      <c r="BB22" s="183">
        <f>IF($E$6=$H$9,AV22,AP22)</f>
        <v>1</v>
      </c>
      <c r="BC22" s="183">
        <f>IF($E$6=$H$9,AW22,AQ22)</f>
        <v>1</v>
      </c>
      <c r="BD22" s="182">
        <f t="shared" si="30"/>
        <v>0</v>
      </c>
      <c r="BE22" s="164" t="str">
        <f t="shared" si="6"/>
        <v>Unclassified</v>
      </c>
      <c r="BF22" s="185"/>
      <c r="BG22" s="182">
        <f t="shared" ref="BG22:BG34" si="35">IF(BC22=0,9,IF(AJ22&gt;=BC22,5,IF(AJ22&gt;=BB22,4,IF(AJ22&gt;=BA22,3,IF(AJ22&gt;=AZ22,2,IF(AJ22&lt;AY22,0,1))))))</f>
        <v>0</v>
      </c>
      <c r="BH22" s="164" t="str">
        <f t="shared" si="8"/>
        <v>Unclassified</v>
      </c>
      <c r="BI22" s="185"/>
      <c r="BJ22" s="182">
        <f t="shared" ref="BJ22:BJ34" si="36">IF(BC22=0,9,IF(AK22&gt;=BC22,5,IF(AK22&gt;=BB22,4,IF(AK22&gt;=BA22,3,IF(AK22&gt;=AZ22,2,IF(AK22&lt;AY22,0,1))))))</f>
        <v>0</v>
      </c>
      <c r="BK22" s="164" t="str">
        <f t="shared" si="9"/>
        <v>Unclassified</v>
      </c>
      <c r="BL22" s="185"/>
      <c r="BO22" s="167"/>
      <c r="BP22" s="167">
        <v>1</v>
      </c>
      <c r="BQ22" s="167">
        <f t="shared" si="15"/>
        <v>1</v>
      </c>
      <c r="BR22" s="167">
        <f t="shared" si="22"/>
        <v>0</v>
      </c>
      <c r="BS22" s="167">
        <f t="shared" si="17"/>
        <v>0</v>
      </c>
      <c r="BT22" s="167">
        <f t="shared" si="18"/>
        <v>0</v>
      </c>
      <c r="BW22" s="677"/>
      <c r="BX22" s="677"/>
      <c r="BY22" s="287"/>
      <c r="BZ22" s="287"/>
      <c r="CA22" s="287"/>
      <c r="CB22" s="287"/>
    </row>
    <row r="23" spans="1:81" x14ac:dyDescent="0.25">
      <c r="A23" s="96">
        <v>15</v>
      </c>
      <c r="B23" s="96" t="str">
        <f t="shared" si="34"/>
        <v>Man 03d</v>
      </c>
      <c r="C23" s="96" t="str">
        <f t="shared" si="19"/>
        <v>Man 03</v>
      </c>
      <c r="D23" s="167" t="s">
        <v>694</v>
      </c>
      <c r="E23" s="1248" t="s">
        <v>1055</v>
      </c>
      <c r="F23" s="775">
        <v>1</v>
      </c>
      <c r="G23" s="775">
        <v>1</v>
      </c>
      <c r="H23" s="775">
        <v>1</v>
      </c>
      <c r="I23" s="775">
        <v>1</v>
      </c>
      <c r="J23" s="775">
        <v>1</v>
      </c>
      <c r="K23" s="775">
        <v>1</v>
      </c>
      <c r="L23" s="775">
        <v>1</v>
      </c>
      <c r="M23" s="775">
        <v>1</v>
      </c>
      <c r="N23" s="775">
        <v>1</v>
      </c>
      <c r="O23" s="775">
        <v>1</v>
      </c>
      <c r="P23" s="775">
        <v>1</v>
      </c>
      <c r="Q23" s="775">
        <v>1</v>
      </c>
      <c r="R23" s="775">
        <v>1</v>
      </c>
      <c r="T23" s="165">
        <f t="shared" si="2"/>
        <v>1</v>
      </c>
      <c r="U23" s="166"/>
      <c r="V23" s="167"/>
      <c r="W23" s="167"/>
      <c r="X23" s="168"/>
      <c r="Y23" s="169"/>
      <c r="Z23" s="1158">
        <f>VLOOKUP(B23,'Manuell filtrering og justering'!$A$7:$H$107,'Manuell filtrering og justering'!$H$1,FALSE)</f>
        <v>1</v>
      </c>
      <c r="AA23" s="1167">
        <f t="shared" si="11"/>
        <v>0</v>
      </c>
      <c r="AB23" s="185">
        <f>IF($AC$5='Manuell filtrering og justering'!$J$2,Z23,(T23-AA23))</f>
        <v>1</v>
      </c>
      <c r="AD23" s="171">
        <f t="shared" ref="AD23:AD24" si="37">(Man_Weight/Man_Credits)*AB23</f>
        <v>6.1904761904761907E-3</v>
      </c>
      <c r="AE23" s="171">
        <f t="shared" ref="AE23:AE24" si="38">IF(AB23=0,0,(AD23/AB23)*AI23)</f>
        <v>0</v>
      </c>
      <c r="AF23" s="171">
        <f t="shared" ref="AF23:AF24" si="39">IF(AB23=0,0,(AD23/AB23)*AJ23)</f>
        <v>0</v>
      </c>
      <c r="AG23" s="171">
        <f t="shared" ref="AG23:AG24" si="40">IF(AB23=0,0,(AD23/AB23)*AK23)</f>
        <v>0</v>
      </c>
      <c r="AI23" s="172">
        <f>IF(VLOOKUP(E23,'Pre-Assessment Estimator'!$E$11:$Z$228,'Pre-Assessment Estimator'!$G$2,FALSE)&gt;AB23,AB23,VLOOKUP(E23,'Pre-Assessment Estimator'!$E$11:$Z$228,'Pre-Assessment Estimator'!$G$2,FALSE))</f>
        <v>0</v>
      </c>
      <c r="AJ23" s="172">
        <f>IF(VLOOKUP(E23,'Pre-Assessment Estimator'!$E$11:$Z$228,'Pre-Assessment Estimator'!$N$2,FALSE)&gt;AB23,AB23,VLOOKUP(E23,'Pre-Assessment Estimator'!$E$11:$Z$228,'Pre-Assessment Estimator'!$N$2,FALSE))</f>
        <v>0</v>
      </c>
      <c r="AK23" s="172">
        <f>IF(VLOOKUP(E23,'Pre-Assessment Estimator'!$E$11:$Z$228,'Pre-Assessment Estimator'!$U$2,FALSE)&gt;AB23,AB23,VLOOKUP(E23,'Pre-Assessment Estimator'!$E$11:$Z$228,'Pre-Assessment Estimator'!$U$2,FALSE))</f>
        <v>0</v>
      </c>
      <c r="AM23" s="1003"/>
      <c r="AN23" s="1004"/>
      <c r="AO23" s="1004">
        <v>1</v>
      </c>
      <c r="AP23" s="1004">
        <v>1</v>
      </c>
      <c r="AQ23" s="1002">
        <v>1</v>
      </c>
      <c r="AR23" s="137"/>
      <c r="AS23" s="1003"/>
      <c r="AT23" s="1004"/>
      <c r="AU23" s="1004">
        <v>1</v>
      </c>
      <c r="AV23" s="1004">
        <v>1</v>
      </c>
      <c r="AW23" s="1002">
        <v>1</v>
      </c>
      <c r="AX23" s="141"/>
      <c r="AY23" s="1019"/>
      <c r="AZ23" s="183"/>
      <c r="BA23" s="183">
        <f>IF($E$6=$H$9,AU23,AO23)</f>
        <v>1</v>
      </c>
      <c r="BB23" s="183">
        <f>IF($E$6=$H$9,AV23,AP23)</f>
        <v>1</v>
      </c>
      <c r="BC23" s="183">
        <f>IF($E$6=$H$9,AW23,AQ23)</f>
        <v>1</v>
      </c>
      <c r="BD23" s="182">
        <f t="shared" ref="BD23" si="41">IF(BC23=0,9,IF(AI23&gt;=BC23,5,IF(AI23&gt;=BB23,4,IF(AI23&gt;=BA23,3,IF(AI23&gt;=AZ23,2,IF(AI23&lt;AY23,0,1))))))</f>
        <v>2</v>
      </c>
      <c r="BE23" s="164" t="str">
        <f t="shared" si="6"/>
        <v>Good</v>
      </c>
      <c r="BF23" s="185"/>
      <c r="BG23" s="182">
        <f t="shared" ref="BG23" si="42">IF(BC23=0,9,IF(AJ23&gt;=BC23,5,IF(AJ23&gt;=BB23,4,IF(AJ23&gt;=BA23,3,IF(AJ23&gt;=AZ23,2,IF(AJ23&lt;AY23,0,1))))))</f>
        <v>2</v>
      </c>
      <c r="BH23" s="164" t="str">
        <f t="shared" si="8"/>
        <v>Good</v>
      </c>
      <c r="BI23" s="185"/>
      <c r="BJ23" s="182">
        <f t="shared" ref="BJ23" si="43">IF(BC23=0,9,IF(AK23&gt;=BC23,5,IF(AK23&gt;=BB23,4,IF(AK23&gt;=BA23,3,IF(AK23&gt;=AZ23,2,IF(AK23&lt;AY23,0,1))))))</f>
        <v>2</v>
      </c>
      <c r="BK23" s="164" t="str">
        <f t="shared" si="9"/>
        <v>Good</v>
      </c>
      <c r="BL23" s="185"/>
      <c r="BO23" s="167"/>
      <c r="BP23" s="167">
        <v>1</v>
      </c>
      <c r="BQ23" s="167">
        <f t="shared" si="15"/>
        <v>1</v>
      </c>
      <c r="BR23" s="167">
        <f t="shared" si="22"/>
        <v>0</v>
      </c>
      <c r="BS23" s="167">
        <f t="shared" si="17"/>
        <v>0</v>
      </c>
      <c r="BT23" s="167">
        <f t="shared" si="18"/>
        <v>0</v>
      </c>
      <c r="BW23" s="677"/>
      <c r="BX23" s="677"/>
      <c r="BY23" s="287"/>
      <c r="BZ23" s="287"/>
      <c r="CA23" s="287"/>
      <c r="CB23" s="287"/>
    </row>
    <row r="24" spans="1:81" x14ac:dyDescent="0.25">
      <c r="A24" s="96">
        <v>16</v>
      </c>
      <c r="B24" s="96" t="str">
        <f t="shared" si="34"/>
        <v>Man 03e</v>
      </c>
      <c r="C24" s="96" t="str">
        <f t="shared" si="19"/>
        <v>Man 03</v>
      </c>
      <c r="D24" s="167" t="s">
        <v>693</v>
      </c>
      <c r="E24" s="1107" t="s">
        <v>998</v>
      </c>
      <c r="F24" s="775">
        <v>1</v>
      </c>
      <c r="G24" s="775">
        <v>1</v>
      </c>
      <c r="H24" s="775">
        <v>1</v>
      </c>
      <c r="I24" s="775">
        <v>1</v>
      </c>
      <c r="J24" s="775">
        <v>1</v>
      </c>
      <c r="K24" s="775">
        <v>1</v>
      </c>
      <c r="L24" s="775">
        <v>1</v>
      </c>
      <c r="M24" s="775">
        <v>1</v>
      </c>
      <c r="N24" s="775">
        <v>1</v>
      </c>
      <c r="O24" s="775">
        <v>1</v>
      </c>
      <c r="P24" s="775">
        <v>1</v>
      </c>
      <c r="Q24" s="775">
        <v>1</v>
      </c>
      <c r="R24" s="775">
        <v>1</v>
      </c>
      <c r="T24" s="165">
        <f t="shared" si="2"/>
        <v>1</v>
      </c>
      <c r="U24" s="166"/>
      <c r="V24" s="167"/>
      <c r="W24" s="167"/>
      <c r="X24" s="168"/>
      <c r="Y24" s="169"/>
      <c r="Z24" s="1158">
        <f>VLOOKUP(B24,'Manuell filtrering og justering'!$A$7:$H$107,'Manuell filtrering og justering'!$H$1,FALSE)</f>
        <v>1</v>
      </c>
      <c r="AA24" s="1167">
        <f t="shared" si="11"/>
        <v>0</v>
      </c>
      <c r="AB24" s="185">
        <f>IF($AC$5='Manuell filtrering og justering'!$J$2,Z24,(T24-AA24))</f>
        <v>1</v>
      </c>
      <c r="AD24" s="171">
        <f t="shared" si="37"/>
        <v>6.1904761904761907E-3</v>
      </c>
      <c r="AE24" s="171">
        <f t="shared" si="38"/>
        <v>0</v>
      </c>
      <c r="AF24" s="171">
        <f t="shared" si="39"/>
        <v>0</v>
      </c>
      <c r="AG24" s="171">
        <f t="shared" si="40"/>
        <v>0</v>
      </c>
      <c r="AI24" s="172">
        <f>IF(VLOOKUP(E24,'Pre-Assessment Estimator'!$E$11:$Z$228,'Pre-Assessment Estimator'!$G$2,FALSE)&gt;AB24,AB24,VLOOKUP(E24,'Pre-Assessment Estimator'!$E$11:$Z$228,'Pre-Assessment Estimator'!$G$2,FALSE))</f>
        <v>0</v>
      </c>
      <c r="AJ24" s="172">
        <f>IF(VLOOKUP(E24,'Pre-Assessment Estimator'!$E$11:$Z$228,'Pre-Assessment Estimator'!$N$2,FALSE)&gt;AB24,AB24,VLOOKUP(E24,'Pre-Assessment Estimator'!$E$11:$Z$228,'Pre-Assessment Estimator'!$N$2,FALSE))</f>
        <v>0</v>
      </c>
      <c r="AK24" s="172">
        <f>IF(VLOOKUP(E24,'Pre-Assessment Estimator'!$E$11:$Z$228,'Pre-Assessment Estimator'!$U$2,FALSE)&gt;AB24,AB24,VLOOKUP(E24,'Pre-Assessment Estimator'!$E$11:$Z$228,'Pre-Assessment Estimator'!$U$2,FALSE))</f>
        <v>0</v>
      </c>
      <c r="AM24" s="1003"/>
      <c r="AN24" s="1004"/>
      <c r="AO24" s="1004"/>
      <c r="AP24" s="1004"/>
      <c r="AQ24" s="1002"/>
      <c r="AR24" s="137"/>
      <c r="AS24" s="1003"/>
      <c r="AT24" s="1004"/>
      <c r="AU24" s="1004"/>
      <c r="AV24" s="1004"/>
      <c r="AW24" s="1002"/>
      <c r="AX24" s="141"/>
      <c r="AY24" s="1019"/>
      <c r="AZ24" s="183"/>
      <c r="BA24" s="183"/>
      <c r="BB24" s="183"/>
      <c r="BC24" s="183"/>
      <c r="BD24" s="1005">
        <f>BD25</f>
        <v>3</v>
      </c>
      <c r="BE24" s="164" t="str">
        <f t="shared" si="6"/>
        <v>Very Good</v>
      </c>
      <c r="BF24" s="185"/>
      <c r="BG24" s="1005">
        <f>BG25</f>
        <v>3</v>
      </c>
      <c r="BH24" s="164" t="str">
        <f t="shared" si="8"/>
        <v>Very Good</v>
      </c>
      <c r="BI24" s="185"/>
      <c r="BJ24" s="1005">
        <f>BJ25</f>
        <v>3</v>
      </c>
      <c r="BK24" s="164" t="str">
        <f t="shared" si="9"/>
        <v>Very Good</v>
      </c>
      <c r="BL24" s="185"/>
      <c r="BO24" s="167"/>
      <c r="BP24" s="167"/>
      <c r="BQ24" s="167" t="str">
        <f t="shared" si="15"/>
        <v/>
      </c>
      <c r="BR24" s="167">
        <f t="shared" si="22"/>
        <v>9</v>
      </c>
      <c r="BS24" s="167">
        <f t="shared" si="17"/>
        <v>9</v>
      </c>
      <c r="BT24" s="167">
        <f t="shared" si="18"/>
        <v>9</v>
      </c>
      <c r="BW24" s="677"/>
      <c r="BX24" s="677"/>
      <c r="BY24" s="287"/>
      <c r="BZ24" s="287"/>
      <c r="CA24" s="287"/>
      <c r="CB24" s="287"/>
    </row>
    <row r="25" spans="1:81" x14ac:dyDescent="0.25">
      <c r="A25" s="96">
        <v>17</v>
      </c>
      <c r="B25" s="96" t="str">
        <f t="shared" si="34"/>
        <v>Man 03f</v>
      </c>
      <c r="C25" s="96" t="str">
        <f t="shared" si="19"/>
        <v>Man 03</v>
      </c>
      <c r="D25" s="167" t="s">
        <v>908</v>
      </c>
      <c r="E25" s="1107" t="s">
        <v>999</v>
      </c>
      <c r="F25" s="775">
        <v>2</v>
      </c>
      <c r="G25" s="775">
        <v>2</v>
      </c>
      <c r="H25" s="775">
        <v>2</v>
      </c>
      <c r="I25" s="775">
        <v>2</v>
      </c>
      <c r="J25" s="775">
        <v>2</v>
      </c>
      <c r="K25" s="775">
        <v>2</v>
      </c>
      <c r="L25" s="775">
        <v>2</v>
      </c>
      <c r="M25" s="775">
        <v>2</v>
      </c>
      <c r="N25" s="775">
        <v>2</v>
      </c>
      <c r="O25" s="775">
        <v>2</v>
      </c>
      <c r="P25" s="775">
        <v>2</v>
      </c>
      <c r="Q25" s="775">
        <v>2</v>
      </c>
      <c r="R25" s="775">
        <v>2</v>
      </c>
      <c r="T25" s="165">
        <f t="shared" si="2"/>
        <v>2</v>
      </c>
      <c r="U25" s="166"/>
      <c r="V25" s="167"/>
      <c r="W25" s="167"/>
      <c r="X25" s="168"/>
      <c r="Y25" s="169"/>
      <c r="Z25" s="1158">
        <f>VLOOKUP(B25,'Manuell filtrering og justering'!$A$7:$H$107,'Manuell filtrering og justering'!$H$1,FALSE)</f>
        <v>2</v>
      </c>
      <c r="AA25" s="1167">
        <f t="shared" si="11"/>
        <v>0</v>
      </c>
      <c r="AB25" s="185">
        <f>IF($AC$5='Manuell filtrering og justering'!$J$2,Z25,(T25-AA25))</f>
        <v>2</v>
      </c>
      <c r="AD25" s="171">
        <f t="shared" si="4"/>
        <v>1.2380952380952381E-2</v>
      </c>
      <c r="AE25" s="171">
        <f>IF(AB25=0,0,(AD25/AB25)*AI25)</f>
        <v>0</v>
      </c>
      <c r="AF25" s="171">
        <f t="shared" si="20"/>
        <v>0</v>
      </c>
      <c r="AG25" s="171">
        <f t="shared" si="21"/>
        <v>0</v>
      </c>
      <c r="AI25" s="172">
        <f>IF(VLOOKUP(E25,'Pre-Assessment Estimator'!$E$11:$Z$228,'Pre-Assessment Estimator'!$G$2,FALSE)&gt;AB25,AB25,VLOOKUP(E25,'Pre-Assessment Estimator'!$E$11:$Z$228,'Pre-Assessment Estimator'!$G$2,FALSE))</f>
        <v>0</v>
      </c>
      <c r="AJ25" s="172">
        <f>IF(VLOOKUP(E25,'Pre-Assessment Estimator'!$E$11:$Z$228,'Pre-Assessment Estimator'!$N$2,FALSE)&gt;AB25,AB25,VLOOKUP(E25,'Pre-Assessment Estimator'!$E$11:$Z$228,'Pre-Assessment Estimator'!$N$2,FALSE))</f>
        <v>0</v>
      </c>
      <c r="AK25" s="172">
        <f>IF(VLOOKUP(E25,'Pre-Assessment Estimator'!$E$11:$Z$228,'Pre-Assessment Estimator'!$U$2,FALSE)&gt;AB25,AB25,VLOOKUP(E25,'Pre-Assessment Estimator'!$E$11:$Z$228,'Pre-Assessment Estimator'!$U$2,FALSE))</f>
        <v>0</v>
      </c>
      <c r="AM25" s="1003"/>
      <c r="AN25" s="1004"/>
      <c r="AO25" s="1004"/>
      <c r="AP25" s="1020">
        <v>3</v>
      </c>
      <c r="AQ25" s="1021">
        <v>3</v>
      </c>
      <c r="AR25" s="137"/>
      <c r="AS25" s="1003"/>
      <c r="AT25" s="1004"/>
      <c r="AU25" s="1004"/>
      <c r="AV25" s="1020">
        <v>3</v>
      </c>
      <c r="AW25" s="1021">
        <v>3</v>
      </c>
      <c r="AX25" s="141"/>
      <c r="AY25" s="182"/>
      <c r="AZ25" s="183"/>
      <c r="BA25" s="183"/>
      <c r="BB25" s="183">
        <f>IF($E$6=$H$9,AV25,AP25)</f>
        <v>3</v>
      </c>
      <c r="BC25" s="183">
        <f>IF($E$6=$H$9,AW25,AQ25)</f>
        <v>3</v>
      </c>
      <c r="BD25" s="1005">
        <f>IF(BC25=0,9,IF((AI25+AI24)&gt;=BC25,5,IF((AI25+AI24)&gt;=BB25,4,IF((AI25+AI24)&gt;=BA25,3,IF((AI25+AI24)&gt;=AZ25,2,IF((AI25+AI24)&lt;AY25,0,1))))))</f>
        <v>3</v>
      </c>
      <c r="BE25" s="164" t="str">
        <f t="shared" si="6"/>
        <v>Very Good</v>
      </c>
      <c r="BF25" s="185"/>
      <c r="BG25" s="1005">
        <f>IF(BC25=0,9,IF((AJ25+AJ24)&gt;=BC25,5,IF((AJ25+AJ24)&gt;=BB25,4,IF((AJ25+AJ24)&gt;=BA25,3,IF((AJ25+AJ24)&gt;=AZ25,2,IF((AJ25+AJ24)&lt;AY25,0,1))))))</f>
        <v>3</v>
      </c>
      <c r="BH25" s="164" t="str">
        <f t="shared" si="8"/>
        <v>Very Good</v>
      </c>
      <c r="BI25" s="185"/>
      <c r="BJ25" s="1005">
        <f>IF(BC25=0,9,IF((AK25+AK24)&gt;=BC25,5,IF((AK25+AK24)&gt;=BB25,4,IF((AK25+AK24)&gt;=BA25,3,IF((AK25+AK24)&gt;=AZ25,2,IF((AK25+AK24)&lt;AY25,0,1))))))</f>
        <v>3</v>
      </c>
      <c r="BK25" s="164" t="str">
        <f t="shared" si="9"/>
        <v>Very Good</v>
      </c>
      <c r="BL25" s="185"/>
      <c r="BO25" s="167"/>
      <c r="BP25" s="167"/>
      <c r="BQ25" s="167" t="str">
        <f t="shared" si="15"/>
        <v/>
      </c>
      <c r="BR25" s="167">
        <f t="shared" si="22"/>
        <v>9</v>
      </c>
      <c r="BS25" s="167">
        <f t="shared" si="17"/>
        <v>9</v>
      </c>
      <c r="BT25" s="167">
        <f t="shared" si="18"/>
        <v>9</v>
      </c>
      <c r="BW25" s="677"/>
      <c r="BX25" s="677"/>
      <c r="BY25" s="287"/>
      <c r="BZ25" s="287"/>
      <c r="CA25" s="287"/>
      <c r="CB25" s="287"/>
    </row>
    <row r="26" spans="1:81" x14ac:dyDescent="0.25">
      <c r="A26" s="96">
        <v>18</v>
      </c>
      <c r="B26" s="137" t="str">
        <f>D26</f>
        <v>Man 04</v>
      </c>
      <c r="C26" s="137" t="str">
        <f>B26</f>
        <v>Man 04</v>
      </c>
      <c r="D26" s="832" t="s">
        <v>94</v>
      </c>
      <c r="E26" s="832" t="s">
        <v>395</v>
      </c>
      <c r="F26" s="933">
        <f>SUM(F27:F29)</f>
        <v>3</v>
      </c>
      <c r="G26" s="933">
        <f t="shared" ref="G26:R26" si="44">SUM(G27:G29)</f>
        <v>3</v>
      </c>
      <c r="H26" s="933">
        <f t="shared" si="44"/>
        <v>3</v>
      </c>
      <c r="I26" s="933">
        <f t="shared" si="44"/>
        <v>3</v>
      </c>
      <c r="J26" s="933">
        <f t="shared" si="44"/>
        <v>3</v>
      </c>
      <c r="K26" s="933">
        <f t="shared" si="44"/>
        <v>3</v>
      </c>
      <c r="L26" s="933">
        <f t="shared" si="44"/>
        <v>3</v>
      </c>
      <c r="M26" s="933">
        <f t="shared" si="44"/>
        <v>3</v>
      </c>
      <c r="N26" s="933">
        <f t="shared" si="44"/>
        <v>3</v>
      </c>
      <c r="O26" s="933">
        <f t="shared" si="44"/>
        <v>3</v>
      </c>
      <c r="P26" s="933">
        <f t="shared" si="44"/>
        <v>3</v>
      </c>
      <c r="Q26" s="933">
        <f t="shared" ref="Q26" si="45">SUM(Q27:Q29)</f>
        <v>3</v>
      </c>
      <c r="R26" s="933">
        <f t="shared" si="44"/>
        <v>3</v>
      </c>
      <c r="T26" s="919">
        <f t="shared" si="2"/>
        <v>3</v>
      </c>
      <c r="U26" s="166"/>
      <c r="V26" s="167"/>
      <c r="W26" s="167"/>
      <c r="X26" s="168">
        <f>'Manuell filtrering og justering'!E10</f>
        <v>0</v>
      </c>
      <c r="Y26" s="169"/>
      <c r="Z26" s="1175">
        <f t="shared" ref="Z26" si="46">SUM(Z27:Z29)</f>
        <v>3</v>
      </c>
      <c r="AA26" s="1167">
        <f t="shared" si="11"/>
        <v>0</v>
      </c>
      <c r="AB26" s="1171">
        <f>SUM(AB27:AB29)</f>
        <v>3</v>
      </c>
      <c r="AD26" s="921">
        <f t="shared" si="4"/>
        <v>1.8571428571428572E-2</v>
      </c>
      <c r="AE26" s="921">
        <f>SUM(AE27:AE29)</f>
        <v>0</v>
      </c>
      <c r="AF26" s="921">
        <f>SUM(AF27:AF29)</f>
        <v>0</v>
      </c>
      <c r="AG26" s="921">
        <f>SUM(AG27:AG29)</f>
        <v>0</v>
      </c>
      <c r="AI26" s="922">
        <f t="shared" ref="AI26:AK26" si="47">SUM(AI27:AI29)</f>
        <v>0</v>
      </c>
      <c r="AJ26" s="922">
        <f t="shared" si="47"/>
        <v>0</v>
      </c>
      <c r="AK26" s="922">
        <f t="shared" si="47"/>
        <v>0</v>
      </c>
      <c r="AM26" s="291"/>
      <c r="AN26" s="181"/>
      <c r="AO26" s="181"/>
      <c r="AP26" s="181"/>
      <c r="AQ26" s="186"/>
      <c r="AS26" s="291"/>
      <c r="AT26" s="181"/>
      <c r="AU26" s="181"/>
      <c r="AV26" s="181"/>
      <c r="AW26" s="186"/>
      <c r="AX26" s="141"/>
      <c r="AY26" s="182"/>
      <c r="AZ26" s="183"/>
      <c r="BA26" s="183"/>
      <c r="BB26" s="183"/>
      <c r="BC26" s="187"/>
      <c r="BD26" s="182">
        <f t="shared" si="30"/>
        <v>9</v>
      </c>
      <c r="BE26" s="164" t="str">
        <f t="shared" si="6"/>
        <v>N/A</v>
      </c>
      <c r="BF26" s="185"/>
      <c r="BG26" s="182">
        <f t="shared" si="35"/>
        <v>9</v>
      </c>
      <c r="BH26" s="164" t="str">
        <f t="shared" si="8"/>
        <v>N/A</v>
      </c>
      <c r="BI26" s="185"/>
      <c r="BJ26" s="182">
        <f t="shared" si="36"/>
        <v>9</v>
      </c>
      <c r="BK26" s="164" t="str">
        <f t="shared" si="9"/>
        <v>N/A</v>
      </c>
      <c r="BL26" s="185"/>
      <c r="BO26" s="167"/>
      <c r="BP26" s="167"/>
      <c r="BQ26" s="167" t="str">
        <f t="shared" si="15"/>
        <v/>
      </c>
      <c r="BR26" s="167">
        <f t="shared" si="22"/>
        <v>9</v>
      </c>
      <c r="BS26" s="167">
        <f t="shared" si="17"/>
        <v>9</v>
      </c>
      <c r="BT26" s="167">
        <f t="shared" si="18"/>
        <v>9</v>
      </c>
      <c r="BW26" s="677" t="str">
        <f>D26</f>
        <v>Man 04</v>
      </c>
      <c r="BX26" s="677" t="str">
        <f>IFERROR(VLOOKUP($E26,'Pre-Assessment Estimator'!$E$11:$AB$228,'Pre-Assessment Estimator'!AB$2,FALSE),"")</f>
        <v>No</v>
      </c>
      <c r="BY26" s="287">
        <f>IFERROR(VLOOKUP($E26,'Pre-Assessment Estimator'!$E$11:$AI$228,'Pre-Assessment Estimator'!AI$2,FALSE),"")</f>
        <v>0</v>
      </c>
      <c r="BZ26" s="287">
        <f>IFERROR(VLOOKUP($BX26,$E$294:$H$327,F$292,FALSE),"")</f>
        <v>1</v>
      </c>
      <c r="CA26" s="287">
        <f>IFERROR(VLOOKUP($BX26,$E$294:$H$327,G$292,FALSE),"")</f>
        <v>0</v>
      </c>
      <c r="CB26" s="287"/>
      <c r="CC26" s="96" t="str">
        <f>IFERROR(VLOOKUP($BX26,$E$294:$H$327,I$292,FALSE),"")</f>
        <v/>
      </c>
    </row>
    <row r="27" spans="1:81" x14ac:dyDescent="0.25">
      <c r="A27" s="96">
        <v>19</v>
      </c>
      <c r="B27" s="96" t="str">
        <f t="shared" ref="B27:B29" si="48">$D$26&amp;D27</f>
        <v>Man 04a</v>
      </c>
      <c r="C27" s="96" t="str">
        <f t="shared" si="19"/>
        <v>Man 04</v>
      </c>
      <c r="D27" s="167" t="s">
        <v>692</v>
      </c>
      <c r="E27" s="1107" t="s">
        <v>596</v>
      </c>
      <c r="F27" s="775">
        <v>1</v>
      </c>
      <c r="G27" s="775">
        <v>1</v>
      </c>
      <c r="H27" s="775">
        <v>1</v>
      </c>
      <c r="I27" s="775">
        <v>1</v>
      </c>
      <c r="J27" s="775">
        <v>1</v>
      </c>
      <c r="K27" s="775">
        <v>1</v>
      </c>
      <c r="L27" s="775">
        <v>1</v>
      </c>
      <c r="M27" s="775">
        <v>1</v>
      </c>
      <c r="N27" s="775">
        <v>1</v>
      </c>
      <c r="O27" s="775">
        <v>1</v>
      </c>
      <c r="P27" s="775">
        <v>1</v>
      </c>
      <c r="Q27" s="775">
        <v>1</v>
      </c>
      <c r="R27" s="775">
        <v>1</v>
      </c>
      <c r="T27" s="165">
        <f t="shared" si="2"/>
        <v>1</v>
      </c>
      <c r="U27" s="166"/>
      <c r="V27" s="167"/>
      <c r="W27" s="167"/>
      <c r="X27" s="168"/>
      <c r="Y27" s="169"/>
      <c r="Z27" s="1158">
        <f>VLOOKUP(B27,'Manuell filtrering og justering'!$A$7:$H$107,'Manuell filtrering og justering'!$H$1,FALSE)</f>
        <v>1</v>
      </c>
      <c r="AA27" s="1167">
        <f t="shared" si="11"/>
        <v>0</v>
      </c>
      <c r="AB27" s="185">
        <f>IF($AC$5='Manuell filtrering og justering'!$J$2,Z27,(T27-AA27))</f>
        <v>1</v>
      </c>
      <c r="AD27" s="171">
        <f t="shared" si="4"/>
        <v>6.1904761904761907E-3</v>
      </c>
      <c r="AE27" s="171">
        <f>IF(AB27=0,0,(AD27/AB27)*AI27)</f>
        <v>0</v>
      </c>
      <c r="AF27" s="171">
        <f t="shared" si="20"/>
        <v>0</v>
      </c>
      <c r="AG27" s="171">
        <f t="shared" si="21"/>
        <v>0</v>
      </c>
      <c r="AI27" s="172">
        <f>IF(VLOOKUP(E27,'Pre-Assessment Estimator'!$E$11:$Z$228,'Pre-Assessment Estimator'!$G$2,FALSE)&gt;AB27,AB27,VLOOKUP(E27,'Pre-Assessment Estimator'!$E$11:$Z$228,'Pre-Assessment Estimator'!$G$2,FALSE))</f>
        <v>0</v>
      </c>
      <c r="AJ27" s="172">
        <f>IF(VLOOKUP(E27,'Pre-Assessment Estimator'!$E$11:$Z$228,'Pre-Assessment Estimator'!$N$2,FALSE)&gt;AB27,AB27,VLOOKUP(E27,'Pre-Assessment Estimator'!$E$11:$Z$228,'Pre-Assessment Estimator'!$N$2,FALSE))</f>
        <v>0</v>
      </c>
      <c r="AK27" s="172">
        <f>IF(VLOOKUP(E27,'Pre-Assessment Estimator'!$E$11:$Z$228,'Pre-Assessment Estimator'!$U$2,FALSE)&gt;AB27,AB27,VLOOKUP(E27,'Pre-Assessment Estimator'!$E$11:$Z$228,'Pre-Assessment Estimator'!$U$2,FALSE))</f>
        <v>0</v>
      </c>
      <c r="AM27" s="291">
        <v>1</v>
      </c>
      <c r="AN27" s="181">
        <v>1</v>
      </c>
      <c r="AO27" s="181">
        <v>1</v>
      </c>
      <c r="AP27" s="181">
        <v>1</v>
      </c>
      <c r="AQ27" s="186">
        <v>1</v>
      </c>
      <c r="AS27" s="291">
        <v>1</v>
      </c>
      <c r="AT27" s="181">
        <v>1</v>
      </c>
      <c r="AU27" s="181">
        <v>1</v>
      </c>
      <c r="AV27" s="181">
        <v>1</v>
      </c>
      <c r="AW27" s="186">
        <v>1</v>
      </c>
      <c r="AX27" s="141"/>
      <c r="AY27" s="183">
        <f>IF($E$6=$H$9,AS27,AM27)</f>
        <v>1</v>
      </c>
      <c r="AZ27" s="183">
        <f>IF($E$6=$H$9,AT27,AN27)</f>
        <v>1</v>
      </c>
      <c r="BA27" s="183">
        <f>IF($E$6=$H$9,AU27,AO27)</f>
        <v>1</v>
      </c>
      <c r="BB27" s="183">
        <f>IF($E$6=$H$9,AV27,AP27)</f>
        <v>1</v>
      </c>
      <c r="BC27" s="183">
        <f>IF($E$6=$H$9,AW27,AQ27)</f>
        <v>1</v>
      </c>
      <c r="BD27" s="182">
        <f t="shared" si="30"/>
        <v>0</v>
      </c>
      <c r="BE27" s="164" t="str">
        <f t="shared" si="6"/>
        <v>Unclassified</v>
      </c>
      <c r="BF27" s="185"/>
      <c r="BG27" s="182">
        <f t="shared" si="35"/>
        <v>0</v>
      </c>
      <c r="BH27" s="164" t="str">
        <f t="shared" si="8"/>
        <v>Unclassified</v>
      </c>
      <c r="BI27" s="185"/>
      <c r="BJ27" s="182">
        <f t="shared" si="36"/>
        <v>0</v>
      </c>
      <c r="BK27" s="164" t="str">
        <f t="shared" si="9"/>
        <v>Unclassified</v>
      </c>
      <c r="BL27" s="185"/>
      <c r="BO27" s="167"/>
      <c r="BP27" s="167"/>
      <c r="BQ27" s="167" t="str">
        <f t="shared" si="15"/>
        <v/>
      </c>
      <c r="BR27" s="167">
        <f t="shared" si="22"/>
        <v>9</v>
      </c>
      <c r="BS27" s="167">
        <f t="shared" si="17"/>
        <v>9</v>
      </c>
      <c r="BT27" s="167">
        <f t="shared" si="18"/>
        <v>9</v>
      </c>
      <c r="BW27" s="677"/>
      <c r="BX27" s="677"/>
      <c r="BY27" s="287"/>
      <c r="BZ27" s="287"/>
      <c r="CA27" s="287"/>
      <c r="CB27" s="287"/>
    </row>
    <row r="28" spans="1:81" x14ac:dyDescent="0.25">
      <c r="A28" s="96">
        <v>20</v>
      </c>
      <c r="B28" s="96" t="str">
        <f t="shared" si="48"/>
        <v>Man 04b</v>
      </c>
      <c r="C28" s="96" t="str">
        <f t="shared" si="19"/>
        <v>Man 04</v>
      </c>
      <c r="D28" s="167" t="s">
        <v>695</v>
      </c>
      <c r="E28" s="1107" t="s">
        <v>597</v>
      </c>
      <c r="F28" s="775">
        <v>1</v>
      </c>
      <c r="G28" s="775">
        <v>1</v>
      </c>
      <c r="H28" s="775">
        <v>1</v>
      </c>
      <c r="I28" s="775">
        <v>1</v>
      </c>
      <c r="J28" s="775">
        <v>1</v>
      </c>
      <c r="K28" s="775">
        <v>1</v>
      </c>
      <c r="L28" s="775">
        <v>1</v>
      </c>
      <c r="M28" s="775">
        <v>1</v>
      </c>
      <c r="N28" s="775">
        <v>1</v>
      </c>
      <c r="O28" s="775">
        <v>1</v>
      </c>
      <c r="P28" s="775">
        <v>1</v>
      </c>
      <c r="Q28" s="775">
        <v>1</v>
      </c>
      <c r="R28" s="775">
        <v>1</v>
      </c>
      <c r="T28" s="165">
        <f t="shared" si="2"/>
        <v>1</v>
      </c>
      <c r="U28" s="166"/>
      <c r="V28" s="167"/>
      <c r="W28" s="167"/>
      <c r="X28" s="168"/>
      <c r="Y28" s="169">
        <f>IF($Y$4=$Y$6,T28,0)</f>
        <v>0</v>
      </c>
      <c r="Z28" s="1158">
        <f>VLOOKUP(B28,'Manuell filtrering og justering'!$A$7:$H$107,'Manuell filtrering og justering'!$H$1,FALSE)</f>
        <v>1</v>
      </c>
      <c r="AA28" s="1167">
        <f t="shared" si="11"/>
        <v>0</v>
      </c>
      <c r="AB28" s="185">
        <f>IF($AC$5='Manuell filtrering og justering'!$J$2,Z28,(T28-AA28))</f>
        <v>1</v>
      </c>
      <c r="AD28" s="171">
        <f t="shared" si="4"/>
        <v>6.1904761904761907E-3</v>
      </c>
      <c r="AE28" s="171">
        <f>IF(AB28=0,0,(AD28/AB28)*AI28)</f>
        <v>0</v>
      </c>
      <c r="AF28" s="171">
        <f t="shared" si="20"/>
        <v>0</v>
      </c>
      <c r="AG28" s="171">
        <f t="shared" si="21"/>
        <v>0</v>
      </c>
      <c r="AI28" s="172">
        <f>IF(VLOOKUP(E28,'Pre-Assessment Estimator'!$E$11:$Z$228,'Pre-Assessment Estimator'!$G$2,FALSE)&gt;AB28,AB28,VLOOKUP(E28,'Pre-Assessment Estimator'!$E$11:$Z$228,'Pre-Assessment Estimator'!$G$2,FALSE))</f>
        <v>0</v>
      </c>
      <c r="AJ28" s="172">
        <f>IF(VLOOKUP(E28,'Pre-Assessment Estimator'!$E$11:$Z$228,'Pre-Assessment Estimator'!$N$2,FALSE)&gt;AB28,AB28,VLOOKUP(E28,'Pre-Assessment Estimator'!$E$11:$Z$228,'Pre-Assessment Estimator'!$N$2,FALSE))</f>
        <v>0</v>
      </c>
      <c r="AK28" s="172">
        <f>IF(VLOOKUP(E28,'Pre-Assessment Estimator'!$E$11:$Z$228,'Pre-Assessment Estimator'!$U$2,FALSE)&gt;AB28,AB28,VLOOKUP(E28,'Pre-Assessment Estimator'!$E$11:$Z$228,'Pre-Assessment Estimator'!$U$2,FALSE))</f>
        <v>0</v>
      </c>
      <c r="AM28" s="291"/>
      <c r="AN28" s="181"/>
      <c r="AO28" s="181"/>
      <c r="AP28" s="181"/>
      <c r="AQ28" s="186"/>
      <c r="AS28" s="291"/>
      <c r="AT28" s="181"/>
      <c r="AU28" s="181"/>
      <c r="AV28" s="181"/>
      <c r="AW28" s="186"/>
      <c r="AX28" s="141"/>
      <c r="AY28" s="182"/>
      <c r="AZ28" s="183"/>
      <c r="BA28" s="183"/>
      <c r="BB28" s="183"/>
      <c r="BC28" s="187"/>
      <c r="BD28" s="182">
        <f t="shared" si="30"/>
        <v>9</v>
      </c>
      <c r="BE28" s="164" t="str">
        <f t="shared" si="6"/>
        <v>N/A</v>
      </c>
      <c r="BF28" s="185"/>
      <c r="BG28" s="182">
        <f t="shared" si="35"/>
        <v>9</v>
      </c>
      <c r="BH28" s="164" t="str">
        <f t="shared" si="8"/>
        <v>N/A</v>
      </c>
      <c r="BI28" s="185"/>
      <c r="BJ28" s="182">
        <f t="shared" si="36"/>
        <v>9</v>
      </c>
      <c r="BK28" s="164" t="str">
        <f t="shared" si="9"/>
        <v>N/A</v>
      </c>
      <c r="BL28" s="185"/>
      <c r="BO28" s="167"/>
      <c r="BP28" s="167"/>
      <c r="BQ28" s="167" t="str">
        <f t="shared" si="15"/>
        <v/>
      </c>
      <c r="BR28" s="167">
        <f t="shared" si="22"/>
        <v>9</v>
      </c>
      <c r="BS28" s="167">
        <f t="shared" si="17"/>
        <v>9</v>
      </c>
      <c r="BT28" s="167">
        <f t="shared" si="18"/>
        <v>9</v>
      </c>
      <c r="BW28" s="677"/>
      <c r="BX28" s="677"/>
      <c r="BY28" s="287"/>
      <c r="BZ28" s="287"/>
      <c r="CA28" s="287"/>
      <c r="CB28" s="287"/>
    </row>
    <row r="29" spans="1:81" x14ac:dyDescent="0.25">
      <c r="A29" s="96">
        <v>21</v>
      </c>
      <c r="B29" s="96" t="str">
        <f t="shared" si="48"/>
        <v>Man 04c</v>
      </c>
      <c r="C29" s="96" t="str">
        <f t="shared" si="19"/>
        <v>Man 04</v>
      </c>
      <c r="D29" s="167" t="s">
        <v>696</v>
      </c>
      <c r="E29" s="1107" t="s">
        <v>598</v>
      </c>
      <c r="F29" s="775">
        <v>1</v>
      </c>
      <c r="G29" s="775">
        <v>1</v>
      </c>
      <c r="H29" s="775">
        <v>1</v>
      </c>
      <c r="I29" s="775">
        <v>1</v>
      </c>
      <c r="J29" s="775">
        <v>1</v>
      </c>
      <c r="K29" s="775">
        <v>1</v>
      </c>
      <c r="L29" s="775">
        <v>1</v>
      </c>
      <c r="M29" s="775">
        <v>1</v>
      </c>
      <c r="N29" s="775">
        <v>1</v>
      </c>
      <c r="O29" s="775">
        <v>1</v>
      </c>
      <c r="P29" s="775">
        <v>1</v>
      </c>
      <c r="Q29" s="775">
        <v>1</v>
      </c>
      <c r="R29" s="775">
        <v>1</v>
      </c>
      <c r="T29" s="165">
        <f t="shared" si="2"/>
        <v>1</v>
      </c>
      <c r="U29" s="166"/>
      <c r="V29" s="167"/>
      <c r="W29" s="167"/>
      <c r="X29" s="168"/>
      <c r="Y29" s="169"/>
      <c r="Z29" s="1158">
        <f>VLOOKUP(B29,'Manuell filtrering og justering'!$A$7:$H$107,'Manuell filtrering og justering'!$H$1,FALSE)</f>
        <v>1</v>
      </c>
      <c r="AA29" s="1167">
        <f t="shared" si="11"/>
        <v>0</v>
      </c>
      <c r="AB29" s="185">
        <f>IF($AC$5='Manuell filtrering og justering'!$J$2,Z29,(T29-AA29))</f>
        <v>1</v>
      </c>
      <c r="AD29" s="171">
        <f t="shared" si="4"/>
        <v>6.1904761904761907E-3</v>
      </c>
      <c r="AE29" s="171">
        <f>IF(AB29=0,0,(AD29/AB29)*AI29)</f>
        <v>0</v>
      </c>
      <c r="AF29" s="171">
        <f t="shared" si="20"/>
        <v>0</v>
      </c>
      <c r="AG29" s="171">
        <f t="shared" si="21"/>
        <v>0</v>
      </c>
      <c r="AI29" s="172">
        <f>IF(VLOOKUP(E29,'Pre-Assessment Estimator'!$E$11:$Z$228,'Pre-Assessment Estimator'!$G$2,FALSE)&gt;AB29,AB29,VLOOKUP(E29,'Pre-Assessment Estimator'!$E$11:$Z$228,'Pre-Assessment Estimator'!$G$2,FALSE))</f>
        <v>0</v>
      </c>
      <c r="AJ29" s="172">
        <f>IF(VLOOKUP(E29,'Pre-Assessment Estimator'!$E$11:$Z$228,'Pre-Assessment Estimator'!$N$2,FALSE)&gt;AB29,AB29,VLOOKUP(E29,'Pre-Assessment Estimator'!$E$11:$Z$228,'Pre-Assessment Estimator'!$N$2,FALSE))</f>
        <v>0</v>
      </c>
      <c r="AK29" s="172">
        <f>IF(VLOOKUP(E29,'Pre-Assessment Estimator'!$E$11:$Z$228,'Pre-Assessment Estimator'!$U$2,FALSE)&gt;AB29,AB29,VLOOKUP(E29,'Pre-Assessment Estimator'!$E$11:$Z$228,'Pre-Assessment Estimator'!$U$2,FALSE))</f>
        <v>0</v>
      </c>
      <c r="AM29" s="291"/>
      <c r="AN29" s="181"/>
      <c r="AO29" s="181">
        <v>1</v>
      </c>
      <c r="AP29" s="181">
        <v>1</v>
      </c>
      <c r="AQ29" s="186">
        <v>1</v>
      </c>
      <c r="AS29" s="291"/>
      <c r="AT29" s="181"/>
      <c r="AU29" s="181">
        <v>1</v>
      </c>
      <c r="AV29" s="181">
        <v>1</v>
      </c>
      <c r="AW29" s="186">
        <v>1</v>
      </c>
      <c r="AX29" s="141"/>
      <c r="AY29" s="182"/>
      <c r="AZ29" s="183"/>
      <c r="BA29" s="183">
        <f>IF($E$6=$H$9,AU29,AO29)</f>
        <v>1</v>
      </c>
      <c r="BB29" s="183">
        <f>IF($E$6=$H$9,AV29,AP29)</f>
        <v>1</v>
      </c>
      <c r="BC29" s="183">
        <f>IF($E$6=$H$9,AW29,AQ29)</f>
        <v>1</v>
      </c>
      <c r="BD29" s="182">
        <f t="shared" si="30"/>
        <v>2</v>
      </c>
      <c r="BE29" s="164" t="str">
        <f t="shared" si="6"/>
        <v>Good</v>
      </c>
      <c r="BF29" s="185"/>
      <c r="BG29" s="182">
        <f t="shared" si="35"/>
        <v>2</v>
      </c>
      <c r="BH29" s="164" t="str">
        <f t="shared" si="8"/>
        <v>Good</v>
      </c>
      <c r="BI29" s="185"/>
      <c r="BJ29" s="182">
        <f t="shared" si="36"/>
        <v>2</v>
      </c>
      <c r="BK29" s="164" t="str">
        <f t="shared" si="9"/>
        <v>Good</v>
      </c>
      <c r="BL29" s="185"/>
      <c r="BO29" s="167"/>
      <c r="BP29" s="167"/>
      <c r="BQ29" s="167" t="str">
        <f t="shared" si="15"/>
        <v/>
      </c>
      <c r="BR29" s="167">
        <f t="shared" si="22"/>
        <v>9</v>
      </c>
      <c r="BS29" s="167">
        <f t="shared" si="17"/>
        <v>9</v>
      </c>
      <c r="BT29" s="167">
        <f t="shared" si="18"/>
        <v>9</v>
      </c>
      <c r="BW29" s="677"/>
      <c r="BX29" s="677"/>
      <c r="BY29" s="287"/>
      <c r="BZ29" s="287"/>
      <c r="CA29" s="287"/>
      <c r="CB29" s="287"/>
    </row>
    <row r="30" spans="1:81" x14ac:dyDescent="0.25">
      <c r="A30" s="96">
        <v>22</v>
      </c>
      <c r="B30" s="137" t="str">
        <f>D30</f>
        <v>Man 05</v>
      </c>
      <c r="C30" s="137" t="str">
        <f>B30</f>
        <v>Man 05</v>
      </c>
      <c r="D30" s="832" t="s">
        <v>95</v>
      </c>
      <c r="E30" s="832" t="s">
        <v>308</v>
      </c>
      <c r="F30" s="933">
        <f>SUM(F31:F33)</f>
        <v>3</v>
      </c>
      <c r="G30" s="933">
        <f t="shared" ref="G30:R30" si="49">SUM(G31:G33)</f>
        <v>3</v>
      </c>
      <c r="H30" s="933">
        <f t="shared" si="49"/>
        <v>3</v>
      </c>
      <c r="I30" s="933">
        <f t="shared" si="49"/>
        <v>3</v>
      </c>
      <c r="J30" s="933">
        <f t="shared" si="49"/>
        <v>3</v>
      </c>
      <c r="K30" s="933">
        <f t="shared" si="49"/>
        <v>3</v>
      </c>
      <c r="L30" s="933">
        <f t="shared" si="49"/>
        <v>3</v>
      </c>
      <c r="M30" s="933">
        <f t="shared" si="49"/>
        <v>3</v>
      </c>
      <c r="N30" s="933">
        <f t="shared" si="49"/>
        <v>3</v>
      </c>
      <c r="O30" s="933">
        <f t="shared" si="49"/>
        <v>3</v>
      </c>
      <c r="P30" s="933">
        <f t="shared" si="49"/>
        <v>3</v>
      </c>
      <c r="Q30" s="933">
        <f t="shared" ref="Q30" si="50">SUM(Q31:Q33)</f>
        <v>3</v>
      </c>
      <c r="R30" s="933">
        <f t="shared" si="49"/>
        <v>3</v>
      </c>
      <c r="T30" s="919">
        <f t="shared" si="2"/>
        <v>3</v>
      </c>
      <c r="U30" s="166"/>
      <c r="V30" s="167"/>
      <c r="W30" s="167"/>
      <c r="X30" s="168">
        <f>'Manuell filtrering og justering'!E11</f>
        <v>0</v>
      </c>
      <c r="Y30" s="169"/>
      <c r="Z30" s="1175">
        <f t="shared" ref="Z30" si="51">SUM(Z31:Z33)</f>
        <v>3</v>
      </c>
      <c r="AA30" s="1167">
        <f t="shared" si="11"/>
        <v>0</v>
      </c>
      <c r="AB30" s="1171">
        <f>SUM(AB31:AB33)</f>
        <v>3</v>
      </c>
      <c r="AD30" s="921">
        <f t="shared" si="4"/>
        <v>1.8571428571428572E-2</v>
      </c>
      <c r="AE30" s="921">
        <f>SUM(AE31:AE33)</f>
        <v>0</v>
      </c>
      <c r="AF30" s="921">
        <f t="shared" ref="AF30:AG30" si="52">SUM(AF31:AF33)</f>
        <v>0</v>
      </c>
      <c r="AG30" s="921">
        <f t="shared" si="52"/>
        <v>0</v>
      </c>
      <c r="AI30" s="922">
        <f t="shared" ref="AI30:AK30" si="53">SUM(AI31:AI33)</f>
        <v>0</v>
      </c>
      <c r="AJ30" s="922">
        <f t="shared" si="53"/>
        <v>0</v>
      </c>
      <c r="AK30" s="922">
        <f t="shared" si="53"/>
        <v>0</v>
      </c>
      <c r="AM30" s="305"/>
      <c r="AN30" s="306"/>
      <c r="AO30" s="306"/>
      <c r="AP30" s="306"/>
      <c r="AQ30" s="307"/>
      <c r="AS30" s="305"/>
      <c r="AT30" s="306"/>
      <c r="AU30" s="306"/>
      <c r="AV30" s="306"/>
      <c r="AW30" s="307"/>
      <c r="AY30" s="188"/>
      <c r="AZ30" s="189"/>
      <c r="BA30" s="189"/>
      <c r="BB30" s="189"/>
      <c r="BC30" s="190"/>
      <c r="BD30" s="182">
        <f t="shared" si="30"/>
        <v>9</v>
      </c>
      <c r="BE30" s="164" t="str">
        <f t="shared" si="6"/>
        <v>N/A</v>
      </c>
      <c r="BF30" s="185"/>
      <c r="BG30" s="182">
        <f t="shared" si="35"/>
        <v>9</v>
      </c>
      <c r="BH30" s="164" t="str">
        <f t="shared" si="8"/>
        <v>N/A</v>
      </c>
      <c r="BI30" s="185"/>
      <c r="BJ30" s="182">
        <f t="shared" si="36"/>
        <v>9</v>
      </c>
      <c r="BK30" s="164" t="str">
        <f t="shared" si="9"/>
        <v>N/A</v>
      </c>
      <c r="BL30" s="185"/>
      <c r="BO30" s="167"/>
      <c r="BP30" s="167"/>
      <c r="BQ30" s="167" t="str">
        <f t="shared" si="15"/>
        <v/>
      </c>
      <c r="BR30" s="167">
        <f t="shared" si="22"/>
        <v>9</v>
      </c>
      <c r="BS30" s="167">
        <f t="shared" si="17"/>
        <v>9</v>
      </c>
      <c r="BT30" s="167">
        <f t="shared" si="18"/>
        <v>9</v>
      </c>
      <c r="BW30" s="677" t="str">
        <f>D30</f>
        <v>Man 05</v>
      </c>
      <c r="BX30" s="677" t="str">
        <f>IFERROR(VLOOKUP($E30,'Pre-Assessment Estimator'!$E$11:$AB$228,'Pre-Assessment Estimator'!AB$2,FALSE),"")</f>
        <v>No</v>
      </c>
      <c r="BY30" s="287">
        <f>IFERROR(VLOOKUP($E30,'Pre-Assessment Estimator'!$E$11:$AI$228,'Pre-Assessment Estimator'!AI$2,FALSE),"")</f>
        <v>0</v>
      </c>
      <c r="BZ30" s="287">
        <f>IFERROR(VLOOKUP($BX30,$E$294:$H$327,F$292,FALSE),"")</f>
        <v>1</v>
      </c>
      <c r="CA30" s="287">
        <f>IFERROR(VLOOKUP($BX30,$E$294:$H$327,G$292,FALSE),"")</f>
        <v>0</v>
      </c>
      <c r="CB30" s="287"/>
      <c r="CC30" s="96" t="s">
        <v>429</v>
      </c>
    </row>
    <row r="31" spans="1:81" x14ac:dyDescent="0.25">
      <c r="A31" s="96">
        <v>23</v>
      </c>
      <c r="B31" s="96" t="str">
        <f t="shared" ref="B31:B33" si="54">$D$30&amp;D31</f>
        <v>Man 05a</v>
      </c>
      <c r="C31" s="96" t="str">
        <f t="shared" si="19"/>
        <v>Man 05</v>
      </c>
      <c r="D31" s="167" t="s">
        <v>692</v>
      </c>
      <c r="E31" s="1107" t="s">
        <v>599</v>
      </c>
      <c r="F31" s="775">
        <v>1</v>
      </c>
      <c r="G31" s="775">
        <v>1</v>
      </c>
      <c r="H31" s="775">
        <v>1</v>
      </c>
      <c r="I31" s="775">
        <v>1</v>
      </c>
      <c r="J31" s="775">
        <v>1</v>
      </c>
      <c r="K31" s="775">
        <v>1</v>
      </c>
      <c r="L31" s="775">
        <v>1</v>
      </c>
      <c r="M31" s="775">
        <v>1</v>
      </c>
      <c r="N31" s="775">
        <v>1</v>
      </c>
      <c r="O31" s="775">
        <v>1</v>
      </c>
      <c r="P31" s="775">
        <v>1</v>
      </c>
      <c r="Q31" s="775">
        <v>1</v>
      </c>
      <c r="R31" s="775">
        <v>1</v>
      </c>
      <c r="T31" s="165">
        <f t="shared" si="2"/>
        <v>1</v>
      </c>
      <c r="U31" s="166"/>
      <c r="V31" s="167"/>
      <c r="W31" s="167"/>
      <c r="X31" s="168"/>
      <c r="Y31" s="169">
        <f>IF(OR($Y$4=$Y$5,$Y$4=$Y$6),T31,0)</f>
        <v>0</v>
      </c>
      <c r="Z31" s="1158">
        <f>VLOOKUP(B31,'Manuell filtrering og justering'!$A$7:$H$107,'Manuell filtrering og justering'!$H$1,FALSE)</f>
        <v>1</v>
      </c>
      <c r="AA31" s="1167">
        <f t="shared" si="11"/>
        <v>0</v>
      </c>
      <c r="AB31" s="185">
        <f>IF($AC$5='Manuell filtrering og justering'!$J$2,Z31,(T31-AA31))</f>
        <v>1</v>
      </c>
      <c r="AD31" s="171">
        <f t="shared" si="4"/>
        <v>6.1904761904761907E-3</v>
      </c>
      <c r="AE31" s="171">
        <f>IF(AB31=0,0,(AD31/AB31)*AI31)</f>
        <v>0</v>
      </c>
      <c r="AF31" s="171">
        <f t="shared" si="20"/>
        <v>0</v>
      </c>
      <c r="AG31" s="171">
        <f t="shared" si="21"/>
        <v>0</v>
      </c>
      <c r="AI31" s="172">
        <f>IF(VLOOKUP(E31,'Pre-Assessment Estimator'!$E$11:$Z$228,'Pre-Assessment Estimator'!$G$2,FALSE)&gt;AB31,AB31,VLOOKUP(E31,'Pre-Assessment Estimator'!$E$11:$Z$228,'Pre-Assessment Estimator'!$G$2,FALSE))</f>
        <v>0</v>
      </c>
      <c r="AJ31" s="172">
        <f>IF(VLOOKUP(E31,'Pre-Assessment Estimator'!$E$11:$Z$228,'Pre-Assessment Estimator'!$N$2,FALSE)&gt;AB31,AB31,VLOOKUP(E31,'Pre-Assessment Estimator'!$E$11:$Z$228,'Pre-Assessment Estimator'!$N$2,FALSE))</f>
        <v>0</v>
      </c>
      <c r="AK31" s="172">
        <f>IF(VLOOKUP(E31,'Pre-Assessment Estimator'!$E$11:$Z$228,'Pre-Assessment Estimator'!$U$2,FALSE)&gt;AB31,AB31,VLOOKUP(E31,'Pre-Assessment Estimator'!$E$11:$Z$228,'Pre-Assessment Estimator'!$U$2,FALSE))</f>
        <v>0</v>
      </c>
      <c r="AM31" s="305"/>
      <c r="AN31" s="306"/>
      <c r="AO31" s="306"/>
      <c r="AP31" s="306"/>
      <c r="AQ31" s="307"/>
      <c r="AS31" s="305"/>
      <c r="AT31" s="306"/>
      <c r="AU31" s="306"/>
      <c r="AV31" s="306"/>
      <c r="AW31" s="307"/>
      <c r="AY31" s="188"/>
      <c r="AZ31" s="189"/>
      <c r="BA31" s="189"/>
      <c r="BB31" s="189"/>
      <c r="BC31" s="190"/>
      <c r="BD31" s="182">
        <f t="shared" si="30"/>
        <v>9</v>
      </c>
      <c r="BE31" s="164" t="str">
        <f t="shared" si="6"/>
        <v>N/A</v>
      </c>
      <c r="BF31" s="185"/>
      <c r="BG31" s="182">
        <f t="shared" si="35"/>
        <v>9</v>
      </c>
      <c r="BH31" s="164" t="str">
        <f t="shared" si="8"/>
        <v>N/A</v>
      </c>
      <c r="BI31" s="185"/>
      <c r="BJ31" s="182">
        <f t="shared" si="36"/>
        <v>9</v>
      </c>
      <c r="BK31" s="164" t="str">
        <f t="shared" si="9"/>
        <v>N/A</v>
      </c>
      <c r="BL31" s="185"/>
      <c r="BO31" s="167"/>
      <c r="BP31" s="167"/>
      <c r="BQ31" s="167" t="str">
        <f t="shared" si="15"/>
        <v/>
      </c>
      <c r="BR31" s="167">
        <f t="shared" ref="BR31:BR94" si="55">IF(BQ31="",9,(IF(AI31&gt;=BQ31,5,0)))</f>
        <v>9</v>
      </c>
      <c r="BS31" s="167">
        <f t="shared" ref="BS31:BS94" si="56">IF(BQ31="",9,(IF(AJ31&gt;=BQ31,5,0)))</f>
        <v>9</v>
      </c>
      <c r="BT31" s="167">
        <f t="shared" ref="BT31:BT94" si="57">IF(BQ31="",9,(IF(AK31&gt;=BQ31,5,0)))</f>
        <v>9</v>
      </c>
      <c r="BW31" s="677"/>
      <c r="BX31" s="677"/>
      <c r="BY31" s="287"/>
      <c r="BZ31" s="287"/>
      <c r="CA31" s="287"/>
      <c r="CB31" s="287"/>
    </row>
    <row r="32" spans="1:81" x14ac:dyDescent="0.25">
      <c r="A32" s="96">
        <v>24</v>
      </c>
      <c r="B32" s="96" t="str">
        <f t="shared" si="54"/>
        <v>Man 05b</v>
      </c>
      <c r="C32" s="96" t="str">
        <f t="shared" si="19"/>
        <v>Man 05</v>
      </c>
      <c r="D32" s="167" t="s">
        <v>695</v>
      </c>
      <c r="E32" s="1107" t="s">
        <v>600</v>
      </c>
      <c r="F32" s="775">
        <v>1</v>
      </c>
      <c r="G32" s="775">
        <v>1</v>
      </c>
      <c r="H32" s="775">
        <v>1</v>
      </c>
      <c r="I32" s="775">
        <v>1</v>
      </c>
      <c r="J32" s="775">
        <v>1</v>
      </c>
      <c r="K32" s="775">
        <v>1</v>
      </c>
      <c r="L32" s="775">
        <v>1</v>
      </c>
      <c r="M32" s="775">
        <v>1</v>
      </c>
      <c r="N32" s="775">
        <v>1</v>
      </c>
      <c r="O32" s="775">
        <v>1</v>
      </c>
      <c r="P32" s="775">
        <v>1</v>
      </c>
      <c r="Q32" s="775">
        <v>1</v>
      </c>
      <c r="R32" s="775">
        <v>1</v>
      </c>
      <c r="T32" s="165">
        <f t="shared" si="2"/>
        <v>1</v>
      </c>
      <c r="U32" s="166"/>
      <c r="V32" s="167"/>
      <c r="W32" s="167"/>
      <c r="X32" s="168"/>
      <c r="Y32" s="169">
        <f>IF(OR($Y$4=$Y$5,$Y$4=$Y$6),T32,0)</f>
        <v>0</v>
      </c>
      <c r="Z32" s="1158">
        <f>VLOOKUP(B32,'Manuell filtrering og justering'!$A$7:$H$107,'Manuell filtrering og justering'!$H$1,FALSE)</f>
        <v>1</v>
      </c>
      <c r="AA32" s="1167">
        <f t="shared" si="11"/>
        <v>0</v>
      </c>
      <c r="AB32" s="185">
        <f>IF($AC$5='Manuell filtrering og justering'!$J$2,Z32,(T32-AA32))</f>
        <v>1</v>
      </c>
      <c r="AD32" s="171">
        <f t="shared" si="4"/>
        <v>6.1904761904761907E-3</v>
      </c>
      <c r="AE32" s="171">
        <f>IF(AB32=0,0,(AD32/AB32)*AI32)</f>
        <v>0</v>
      </c>
      <c r="AF32" s="171">
        <f t="shared" si="20"/>
        <v>0</v>
      </c>
      <c r="AG32" s="171">
        <f t="shared" si="21"/>
        <v>0</v>
      </c>
      <c r="AI32" s="172">
        <f>IF(VLOOKUP(E32,'Pre-Assessment Estimator'!$E$11:$Z$228,'Pre-Assessment Estimator'!$G$2,FALSE)&gt;AB32,AB32,VLOOKUP(E32,'Pre-Assessment Estimator'!$E$11:$Z$228,'Pre-Assessment Estimator'!$G$2,FALSE))</f>
        <v>0</v>
      </c>
      <c r="AJ32" s="172">
        <f>IF(VLOOKUP(E32,'Pre-Assessment Estimator'!$E$11:$Z$228,'Pre-Assessment Estimator'!$N$2,FALSE)&gt;AB32,AB32,VLOOKUP(E32,'Pre-Assessment Estimator'!$E$11:$Z$228,'Pre-Assessment Estimator'!$N$2,FALSE))</f>
        <v>0</v>
      </c>
      <c r="AK32" s="172">
        <f>IF(VLOOKUP(E32,'Pre-Assessment Estimator'!$E$11:$Z$228,'Pre-Assessment Estimator'!$U$2,FALSE)&gt;AB32,AB32,VLOOKUP(E32,'Pre-Assessment Estimator'!$E$11:$Z$228,'Pre-Assessment Estimator'!$U$2,FALSE))</f>
        <v>0</v>
      </c>
      <c r="AM32" s="305"/>
      <c r="AN32" s="306"/>
      <c r="AO32" s="306"/>
      <c r="AP32" s="1189">
        <f>IF(AND($Y$4&lt;&gt;$Y$3,Y32&gt;0),0,1)</f>
        <v>1</v>
      </c>
      <c r="AQ32" s="1190">
        <f>IF(AND($Y$4&lt;&gt;$Y$3,Y32&gt;0),0,1)</f>
        <v>1</v>
      </c>
      <c r="AR32" s="130"/>
      <c r="AS32" s="1010"/>
      <c r="AT32" s="1008"/>
      <c r="AU32" s="1008"/>
      <c r="AV32" s="1008"/>
      <c r="AW32" s="1009"/>
      <c r="AY32" s="188"/>
      <c r="AZ32" s="189"/>
      <c r="BA32" s="189"/>
      <c r="BB32" s="183">
        <f>IF($E$6=$H$9,AV32,AP32)</f>
        <v>1</v>
      </c>
      <c r="BC32" s="183">
        <f>IF($E$6=$H$9,AW32,AQ32)</f>
        <v>1</v>
      </c>
      <c r="BD32" s="182">
        <f t="shared" si="30"/>
        <v>3</v>
      </c>
      <c r="BE32" s="164" t="str">
        <f t="shared" si="6"/>
        <v>Very Good</v>
      </c>
      <c r="BF32" s="185"/>
      <c r="BG32" s="182">
        <f t="shared" si="35"/>
        <v>3</v>
      </c>
      <c r="BH32" s="164" t="str">
        <f t="shared" si="8"/>
        <v>Very Good</v>
      </c>
      <c r="BI32" s="185"/>
      <c r="BJ32" s="182">
        <f t="shared" si="36"/>
        <v>3</v>
      </c>
      <c r="BK32" s="164" t="str">
        <f t="shared" si="9"/>
        <v>Very Good</v>
      </c>
      <c r="BL32" s="185"/>
      <c r="BO32" s="167"/>
      <c r="BP32" s="167"/>
      <c r="BQ32" s="167" t="str">
        <f t="shared" si="15"/>
        <v/>
      </c>
      <c r="BR32" s="167">
        <f t="shared" si="55"/>
        <v>9</v>
      </c>
      <c r="BS32" s="167">
        <f t="shared" si="56"/>
        <v>9</v>
      </c>
      <c r="BT32" s="167">
        <f t="shared" si="57"/>
        <v>9</v>
      </c>
      <c r="BW32" s="677"/>
      <c r="BX32" s="677"/>
      <c r="BY32" s="287"/>
      <c r="BZ32" s="287"/>
      <c r="CA32" s="287"/>
      <c r="CB32" s="287"/>
    </row>
    <row r="33" spans="1:87" x14ac:dyDescent="0.25">
      <c r="A33" s="96">
        <v>25</v>
      </c>
      <c r="B33" s="96" t="str">
        <f t="shared" si="54"/>
        <v>Man 05c</v>
      </c>
      <c r="C33" s="96" t="str">
        <f t="shared" si="19"/>
        <v>Man 05</v>
      </c>
      <c r="D33" s="167" t="s">
        <v>696</v>
      </c>
      <c r="E33" s="1107" t="s">
        <v>601</v>
      </c>
      <c r="F33" s="775">
        <v>1</v>
      </c>
      <c r="G33" s="775">
        <v>1</v>
      </c>
      <c r="H33" s="775">
        <v>1</v>
      </c>
      <c r="I33" s="775">
        <v>1</v>
      </c>
      <c r="J33" s="775">
        <v>1</v>
      </c>
      <c r="K33" s="775">
        <v>1</v>
      </c>
      <c r="L33" s="775">
        <v>1</v>
      </c>
      <c r="M33" s="775">
        <v>1</v>
      </c>
      <c r="N33" s="775">
        <v>1</v>
      </c>
      <c r="O33" s="775">
        <v>1</v>
      </c>
      <c r="P33" s="775">
        <v>1</v>
      </c>
      <c r="Q33" s="775">
        <v>1</v>
      </c>
      <c r="R33" s="775">
        <v>1</v>
      </c>
      <c r="T33" s="165">
        <f t="shared" si="2"/>
        <v>1</v>
      </c>
      <c r="U33" s="166"/>
      <c r="V33" s="167"/>
      <c r="W33" s="167"/>
      <c r="X33" s="168"/>
      <c r="Y33" s="169">
        <f>IF(OR($Y$4=$Y$5,$Y$4=$Y$6),T33,0)</f>
        <v>0</v>
      </c>
      <c r="Z33" s="1158">
        <f>VLOOKUP(B33,'Manuell filtrering og justering'!$A$7:$H$107,'Manuell filtrering og justering'!$H$1,FALSE)</f>
        <v>1</v>
      </c>
      <c r="AA33" s="1167">
        <f t="shared" si="11"/>
        <v>0</v>
      </c>
      <c r="AB33" s="185">
        <f>IF($AC$5='Manuell filtrering og justering'!$J$2,Z33,(T33-AA33))</f>
        <v>1</v>
      </c>
      <c r="AD33" s="171">
        <f t="shared" si="4"/>
        <v>6.1904761904761907E-3</v>
      </c>
      <c r="AE33" s="171">
        <f>IF(AB33=0,0,(AD33/AB33)*AI33)</f>
        <v>0</v>
      </c>
      <c r="AF33" s="171">
        <f t="shared" si="20"/>
        <v>0</v>
      </c>
      <c r="AG33" s="171">
        <f t="shared" si="21"/>
        <v>0</v>
      </c>
      <c r="AI33" s="172">
        <f>IF(VLOOKUP(E33,'Pre-Assessment Estimator'!$E$11:$Z$228,'Pre-Assessment Estimator'!$G$2,FALSE)&gt;AB33,AB33,VLOOKUP(E33,'Pre-Assessment Estimator'!$E$11:$Z$228,'Pre-Assessment Estimator'!$G$2,FALSE))</f>
        <v>0</v>
      </c>
      <c r="AJ33" s="172">
        <f>IF(VLOOKUP(E33,'Pre-Assessment Estimator'!$E$11:$Z$228,'Pre-Assessment Estimator'!$N$2,FALSE)&gt;AB33,AB33,VLOOKUP(E33,'Pre-Assessment Estimator'!$E$11:$Z$228,'Pre-Assessment Estimator'!$N$2,FALSE))</f>
        <v>0</v>
      </c>
      <c r="AK33" s="172">
        <f>IF(VLOOKUP(E33,'Pre-Assessment Estimator'!$E$11:$Z$228,'Pre-Assessment Estimator'!$U$2,FALSE)&gt;AB33,AB33,VLOOKUP(E33,'Pre-Assessment Estimator'!$E$11:$Z$228,'Pre-Assessment Estimator'!$U$2,FALSE))</f>
        <v>0</v>
      </c>
      <c r="AM33" s="305"/>
      <c r="AN33" s="306"/>
      <c r="AO33" s="306"/>
      <c r="AP33" s="306"/>
      <c r="AQ33" s="307"/>
      <c r="AS33" s="305"/>
      <c r="AT33" s="306"/>
      <c r="AU33" s="306"/>
      <c r="AV33" s="306"/>
      <c r="AW33" s="307"/>
      <c r="AY33" s="188"/>
      <c r="AZ33" s="189"/>
      <c r="BA33" s="189"/>
      <c r="BB33" s="189"/>
      <c r="BC33" s="190"/>
      <c r="BD33" s="182">
        <f t="shared" si="30"/>
        <v>9</v>
      </c>
      <c r="BE33" s="164" t="str">
        <f t="shared" si="6"/>
        <v>N/A</v>
      </c>
      <c r="BF33" s="185"/>
      <c r="BG33" s="182">
        <f t="shared" si="35"/>
        <v>9</v>
      </c>
      <c r="BH33" s="164" t="str">
        <f t="shared" si="8"/>
        <v>N/A</v>
      </c>
      <c r="BI33" s="185"/>
      <c r="BJ33" s="182">
        <f t="shared" si="36"/>
        <v>9</v>
      </c>
      <c r="BK33" s="164" t="str">
        <f t="shared" si="9"/>
        <v>N/A</v>
      </c>
      <c r="BL33" s="185"/>
      <c r="BO33" s="167"/>
      <c r="BP33" s="167"/>
      <c r="BQ33" s="167" t="str">
        <f t="shared" si="15"/>
        <v/>
      </c>
      <c r="BR33" s="167">
        <f t="shared" si="55"/>
        <v>9</v>
      </c>
      <c r="BS33" s="167">
        <f t="shared" si="56"/>
        <v>9</v>
      </c>
      <c r="BT33" s="167">
        <f t="shared" si="57"/>
        <v>9</v>
      </c>
      <c r="BW33" s="677"/>
      <c r="BX33" s="677"/>
      <c r="BY33" s="287"/>
      <c r="BZ33" s="287"/>
      <c r="CA33" s="287"/>
      <c r="CB33" s="287"/>
    </row>
    <row r="34" spans="1:87" x14ac:dyDescent="0.25">
      <c r="A34" s="96">
        <v>26</v>
      </c>
      <c r="D34" s="700" t="s">
        <v>96</v>
      </c>
      <c r="E34" s="700"/>
      <c r="F34" s="934"/>
      <c r="G34" s="934"/>
      <c r="H34" s="934"/>
      <c r="I34" s="934"/>
      <c r="J34" s="934"/>
      <c r="K34" s="934"/>
      <c r="L34" s="934"/>
      <c r="M34" s="934"/>
      <c r="N34" s="934"/>
      <c r="O34" s="934"/>
      <c r="P34" s="934"/>
      <c r="Q34" s="934"/>
      <c r="R34" s="934"/>
      <c r="T34" s="954">
        <f t="shared" si="2"/>
        <v>0</v>
      </c>
      <c r="U34" s="701"/>
      <c r="V34" s="700"/>
      <c r="W34" s="700"/>
      <c r="X34" s="955">
        <f>'Manuell filtrering og justering'!E12</f>
        <v>0</v>
      </c>
      <c r="Y34" s="956"/>
      <c r="Z34" s="1160"/>
      <c r="AA34" s="1167">
        <f t="shared" si="11"/>
        <v>0</v>
      </c>
      <c r="AB34" s="1172">
        <f>IF($AC$5='Manuell filtrering og justering'!$J$2,Z34,(T34-AA34))</f>
        <v>0</v>
      </c>
      <c r="AD34" s="960"/>
      <c r="AE34" s="960"/>
      <c r="AF34" s="960"/>
      <c r="AG34" s="960"/>
      <c r="AI34" s="720"/>
      <c r="AJ34" s="720"/>
      <c r="AK34" s="720"/>
      <c r="AM34" s="292"/>
      <c r="AN34" s="293"/>
      <c r="AO34" s="293"/>
      <c r="AP34" s="293"/>
      <c r="AQ34" s="294"/>
      <c r="AS34" s="292"/>
      <c r="AT34" s="293"/>
      <c r="AU34" s="293"/>
      <c r="AV34" s="293"/>
      <c r="AW34" s="294"/>
      <c r="AY34" s="188"/>
      <c r="AZ34" s="191"/>
      <c r="BA34" s="189"/>
      <c r="BB34" s="189"/>
      <c r="BC34" s="184"/>
      <c r="BD34" s="182">
        <f t="shared" si="30"/>
        <v>9</v>
      </c>
      <c r="BE34" s="164" t="str">
        <f t="shared" si="6"/>
        <v>N/A</v>
      </c>
      <c r="BF34" s="185"/>
      <c r="BG34" s="182">
        <f t="shared" si="35"/>
        <v>9</v>
      </c>
      <c r="BH34" s="164" t="str">
        <f t="shared" si="8"/>
        <v>N/A</v>
      </c>
      <c r="BI34" s="185"/>
      <c r="BJ34" s="182">
        <f t="shared" si="36"/>
        <v>9</v>
      </c>
      <c r="BK34" s="164" t="str">
        <f t="shared" si="9"/>
        <v>N/A</v>
      </c>
      <c r="BL34" s="185"/>
      <c r="BO34" s="167"/>
      <c r="BP34" s="167"/>
      <c r="BQ34" s="167" t="str">
        <f t="shared" si="15"/>
        <v/>
      </c>
      <c r="BR34" s="167">
        <f t="shared" si="55"/>
        <v>9</v>
      </c>
      <c r="BS34" s="167">
        <f t="shared" si="56"/>
        <v>9</v>
      </c>
      <c r="BT34" s="167">
        <f t="shared" si="57"/>
        <v>9</v>
      </c>
      <c r="BW34" s="167"/>
      <c r="BX34" s="167" t="str">
        <f>IFERROR(VLOOKUP($E34,'Pre-Assessment Estimator'!$E$11:$AB$228,'Pre-Assessment Estimator'!AB$2,FALSE),"")</f>
        <v/>
      </c>
      <c r="BY34" s="167" t="str">
        <f>IFERROR(VLOOKUP($E34,'Pre-Assessment Estimator'!$E$11:$AI$228,'Pre-Assessment Estimator'!AI$2,FALSE),"")</f>
        <v/>
      </c>
      <c r="BZ34" s="167" t="str">
        <f t="shared" ref="BZ34:CA38" si="58">IFERROR(VLOOKUP($BX34,$E$294:$H$327,F$292,FALSE),"")</f>
        <v/>
      </c>
      <c r="CA34" s="167" t="str">
        <f t="shared" si="58"/>
        <v/>
      </c>
      <c r="CB34" s="167"/>
      <c r="CC34" s="96" t="str">
        <f t="shared" ref="CC34:CC39" si="59">IFERROR(VLOOKUP($BX34,$E$294:$H$327,I$292,FALSE),"")</f>
        <v/>
      </c>
    </row>
    <row r="35" spans="1:87" ht="15.75" thickBot="1" x14ac:dyDescent="0.3">
      <c r="A35" s="96">
        <v>27</v>
      </c>
      <c r="D35" s="700" t="s">
        <v>97</v>
      </c>
      <c r="E35" s="700"/>
      <c r="F35" s="934"/>
      <c r="G35" s="934"/>
      <c r="H35" s="934"/>
      <c r="I35" s="934"/>
      <c r="J35" s="934"/>
      <c r="K35" s="934"/>
      <c r="L35" s="934"/>
      <c r="M35" s="934"/>
      <c r="N35" s="934"/>
      <c r="O35" s="934"/>
      <c r="P35" s="934"/>
      <c r="Q35" s="934"/>
      <c r="R35" s="934"/>
      <c r="T35" s="954">
        <f t="shared" si="2"/>
        <v>0</v>
      </c>
      <c r="U35" s="701"/>
      <c r="V35" s="700"/>
      <c r="W35" s="700"/>
      <c r="X35" s="955">
        <f>'Manuell filtrering og justering'!E13</f>
        <v>0</v>
      </c>
      <c r="Y35" s="956"/>
      <c r="Z35" s="1160"/>
      <c r="AA35" s="1167">
        <f t="shared" si="11"/>
        <v>0</v>
      </c>
      <c r="AB35" s="1172">
        <f>IF($AC$5='Manuell filtrering og justering'!$J$2,Z35,(T35-AA35))</f>
        <v>0</v>
      </c>
      <c r="AD35" s="960"/>
      <c r="AE35" s="960"/>
      <c r="AF35" s="960"/>
      <c r="AG35" s="960"/>
      <c r="AI35" s="720"/>
      <c r="AJ35" s="720"/>
      <c r="AK35" s="720"/>
      <c r="AM35" s="295"/>
      <c r="AN35" s="296"/>
      <c r="AO35" s="296"/>
      <c r="AP35" s="296"/>
      <c r="AQ35" s="297"/>
      <c r="AS35" s="295"/>
      <c r="AT35" s="296"/>
      <c r="AU35" s="296"/>
      <c r="AV35" s="296"/>
      <c r="AW35" s="297"/>
      <c r="AY35" s="194"/>
      <c r="AZ35" s="195"/>
      <c r="BA35" s="196"/>
      <c r="BB35" s="196"/>
      <c r="BC35" s="197"/>
      <c r="BD35" s="198">
        <f t="shared" ref="BD35:BD169" si="60">IF(BC35=0,9,IF(AI35&gt;=BC35,5,IF(AI35&gt;=BB35,4,IF(AI35&gt;=BA35,3,IF(AI35&gt;=AZ35,2,IF(AI35&lt;AY35,0,1))))))</f>
        <v>9</v>
      </c>
      <c r="BE35" s="164" t="str">
        <f t="shared" si="6"/>
        <v>N/A</v>
      </c>
      <c r="BF35" s="200"/>
      <c r="BG35" s="198">
        <f t="shared" si="7"/>
        <v>9</v>
      </c>
      <c r="BH35" s="164" t="str">
        <f t="shared" si="8"/>
        <v>N/A</v>
      </c>
      <c r="BI35" s="200"/>
      <c r="BJ35" s="198">
        <f t="shared" si="28"/>
        <v>9</v>
      </c>
      <c r="BK35" s="164" t="str">
        <f t="shared" si="9"/>
        <v>N/A</v>
      </c>
      <c r="BL35" s="200"/>
      <c r="BO35" s="167"/>
      <c r="BP35" s="167"/>
      <c r="BQ35" s="167" t="str">
        <f t="shared" si="15"/>
        <v/>
      </c>
      <c r="BR35" s="167">
        <f t="shared" si="55"/>
        <v>9</v>
      </c>
      <c r="BS35" s="167">
        <f t="shared" si="56"/>
        <v>9</v>
      </c>
      <c r="BT35" s="167">
        <f t="shared" si="57"/>
        <v>9</v>
      </c>
      <c r="BW35" s="193"/>
      <c r="BX35" s="193" t="str">
        <f>IFERROR(VLOOKUP($E35,'Pre-Assessment Estimator'!$E$11:$AB$228,'Pre-Assessment Estimator'!AB$2,FALSE),"")</f>
        <v/>
      </c>
      <c r="BY35" s="193" t="str">
        <f>IFERROR(VLOOKUP($E35,'Pre-Assessment Estimator'!$E$11:$AI$228,'Pre-Assessment Estimator'!AI$2,FALSE),"")</f>
        <v/>
      </c>
      <c r="BZ35" s="193" t="str">
        <f t="shared" si="58"/>
        <v/>
      </c>
      <c r="CA35" s="193" t="str">
        <f t="shared" si="58"/>
        <v/>
      </c>
      <c r="CB35" s="193"/>
      <c r="CC35" s="96" t="str">
        <f t="shared" si="59"/>
        <v/>
      </c>
    </row>
    <row r="36" spans="1:87" ht="15.75" thickBot="1" x14ac:dyDescent="0.3">
      <c r="A36" s="96">
        <v>28</v>
      </c>
      <c r="B36" s="96" t="s">
        <v>881</v>
      </c>
      <c r="D36" s="711"/>
      <c r="E36" s="710" t="s">
        <v>213</v>
      </c>
      <c r="F36" s="774">
        <f t="shared" ref="F36:R36" si="61">F10+F16+F19+F26+F30</f>
        <v>21</v>
      </c>
      <c r="G36" s="774">
        <f t="shared" si="61"/>
        <v>21</v>
      </c>
      <c r="H36" s="774">
        <f t="shared" si="61"/>
        <v>21</v>
      </c>
      <c r="I36" s="774">
        <f t="shared" si="61"/>
        <v>21</v>
      </c>
      <c r="J36" s="774">
        <f t="shared" si="61"/>
        <v>21</v>
      </c>
      <c r="K36" s="774">
        <f t="shared" si="61"/>
        <v>21</v>
      </c>
      <c r="L36" s="774">
        <f t="shared" si="61"/>
        <v>21</v>
      </c>
      <c r="M36" s="774">
        <f t="shared" si="61"/>
        <v>21</v>
      </c>
      <c r="N36" s="774">
        <f t="shared" si="61"/>
        <v>21</v>
      </c>
      <c r="O36" s="774">
        <f t="shared" si="61"/>
        <v>21</v>
      </c>
      <c r="P36" s="774">
        <f t="shared" si="61"/>
        <v>21</v>
      </c>
      <c r="Q36" s="774">
        <f t="shared" ref="Q36" si="62">Q10+Q16+Q19+Q26+Q30</f>
        <v>21</v>
      </c>
      <c r="R36" s="774">
        <f t="shared" si="61"/>
        <v>21</v>
      </c>
      <c r="T36" s="203">
        <f t="shared" si="2"/>
        <v>21</v>
      </c>
      <c r="U36" s="204"/>
      <c r="V36" s="205"/>
      <c r="W36" s="205"/>
      <c r="X36" s="206"/>
      <c r="Y36" s="207"/>
      <c r="Z36" s="1161"/>
      <c r="AA36" s="1168">
        <f>AA10+AA16+AA19+AA26+AA30</f>
        <v>0</v>
      </c>
      <c r="AB36" s="1173">
        <f>AB10+AB16+AB19+AB26+AB30</f>
        <v>21</v>
      </c>
      <c r="AD36" s="208">
        <f>AD10+AD16+AD19+AD26+AD30</f>
        <v>0.13</v>
      </c>
      <c r="AE36" s="208">
        <f>AE10+AE16+AE19+AE26+AE30</f>
        <v>0</v>
      </c>
      <c r="AF36" s="208">
        <f>AF10+AF16+AF19+AF26+AF30</f>
        <v>0</v>
      </c>
      <c r="AG36" s="208">
        <f>AG10+AG16+AG19+AG26+AG30</f>
        <v>0</v>
      </c>
      <c r="AI36" s="78">
        <f>AI10+AI16+AI19+AI26+AI30</f>
        <v>0</v>
      </c>
      <c r="AJ36" s="78">
        <f>AJ10+AJ16+AJ19+AJ26+AJ30</f>
        <v>0</v>
      </c>
      <c r="AK36" s="78">
        <f>AK10+AK16+AK19+AK26+AK30</f>
        <v>0</v>
      </c>
      <c r="AM36" s="139"/>
      <c r="AN36" s="139"/>
      <c r="AO36" s="139"/>
      <c r="AP36" s="139"/>
      <c r="AQ36" s="139"/>
      <c r="AS36" s="139"/>
      <c r="AT36" s="139"/>
      <c r="AU36" s="139"/>
      <c r="AV36" s="139"/>
      <c r="AW36" s="139"/>
      <c r="AY36" s="97"/>
      <c r="AZ36" s="209"/>
      <c r="BA36" s="97"/>
      <c r="BB36" s="97"/>
      <c r="BC36" s="97"/>
      <c r="BW36" s="202"/>
      <c r="BX36" s="202" t="str">
        <f>IFERROR(VLOOKUP($E36,'Pre-Assessment Estimator'!$E$11:$AB$228,'Pre-Assessment Estimator'!AB$2,FALSE),"")</f>
        <v/>
      </c>
      <c r="BY36" s="202" t="str">
        <f>IFERROR(VLOOKUP($E36,'Pre-Assessment Estimator'!$E$11:$AI$228,'Pre-Assessment Estimator'!AI$2,FALSE),"")</f>
        <v/>
      </c>
      <c r="BZ36" s="202" t="str">
        <f t="shared" si="58"/>
        <v/>
      </c>
      <c r="CA36" s="202" t="str">
        <f t="shared" si="58"/>
        <v/>
      </c>
      <c r="CB36" s="202"/>
      <c r="CC36" s="96" t="str">
        <f t="shared" si="59"/>
        <v/>
      </c>
    </row>
    <row r="37" spans="1:87" ht="15.75" thickBot="1" x14ac:dyDescent="0.3">
      <c r="A37" s="96">
        <v>29</v>
      </c>
      <c r="AI37" s="1"/>
      <c r="AJ37" s="1"/>
      <c r="AK37" s="1"/>
      <c r="AM37" s="139"/>
      <c r="AN37" s="139"/>
      <c r="AO37" s="139"/>
      <c r="AP37" s="139"/>
      <c r="AQ37" s="139"/>
      <c r="AS37" s="139"/>
      <c r="AT37" s="139"/>
      <c r="AU37" s="139"/>
      <c r="AV37" s="139"/>
      <c r="AW37" s="139"/>
      <c r="AY37" s="97"/>
      <c r="AZ37" s="209"/>
      <c r="BA37" s="97"/>
      <c r="BB37" s="97"/>
      <c r="BC37" s="97"/>
      <c r="BX37" s="96" t="str">
        <f>IFERROR(VLOOKUP($E37,'Pre-Assessment Estimator'!$E$11:$AB$228,'Pre-Assessment Estimator'!AB$2,FALSE),"")</f>
        <v/>
      </c>
      <c r="BY37" s="96" t="str">
        <f>IFERROR(VLOOKUP($E37,'Pre-Assessment Estimator'!$E$11:$AI$228,'Pre-Assessment Estimator'!AI$2,FALSE),"")</f>
        <v/>
      </c>
      <c r="BZ37" s="96" t="str">
        <f t="shared" si="58"/>
        <v/>
      </c>
      <c r="CA37" s="96" t="str">
        <f t="shared" si="58"/>
        <v/>
      </c>
      <c r="CC37" s="96" t="str">
        <f t="shared" si="59"/>
        <v/>
      </c>
    </row>
    <row r="38" spans="1:87" ht="60.75" thickBot="1" x14ac:dyDescent="0.3">
      <c r="A38" s="96">
        <v>30</v>
      </c>
      <c r="D38" s="145"/>
      <c r="E38" s="146" t="s">
        <v>64</v>
      </c>
      <c r="F38" s="1241" t="str">
        <f>$F$9</f>
        <v>Office</v>
      </c>
      <c r="G38" s="1241" t="str">
        <f>$G$9</f>
        <v>Retail</v>
      </c>
      <c r="H38" s="1245" t="str">
        <f>$H$9</f>
        <v>Residential</v>
      </c>
      <c r="I38" s="1241" t="str">
        <f>$I$9</f>
        <v>Industrial</v>
      </c>
      <c r="J38" s="1243" t="str">
        <f>$J$9</f>
        <v>Healthcare</v>
      </c>
      <c r="K38" s="1243" t="str">
        <f>$K$9</f>
        <v>Prison</v>
      </c>
      <c r="L38" s="1243" t="str">
        <f>$L$9</f>
        <v>Law Court</v>
      </c>
      <c r="M38" s="1247" t="str">
        <f>$M$9</f>
        <v>Residential institution (long term stay)</v>
      </c>
      <c r="N38" s="918" t="str">
        <f>$N$9</f>
        <v>Residential institution (short term stay)</v>
      </c>
      <c r="O38" s="918" t="str">
        <f>$O$9</f>
        <v>Non-residential institution</v>
      </c>
      <c r="P38" s="918" t="str">
        <f>$P$9</f>
        <v>Assembly and leisure</v>
      </c>
      <c r="Q38" s="1243" t="str">
        <f>$Q$9</f>
        <v>Education</v>
      </c>
      <c r="R38" s="857" t="str">
        <f>$R$9</f>
        <v>Other</v>
      </c>
      <c r="T38" s="138" t="str">
        <f>$E$6</f>
        <v>Office</v>
      </c>
      <c r="U38" s="210"/>
      <c r="V38" s="211"/>
      <c r="W38" s="666"/>
      <c r="X38" s="1163"/>
      <c r="Y38" s="1176" t="s">
        <v>411</v>
      </c>
      <c r="Z38" s="1174" t="s">
        <v>334</v>
      </c>
      <c r="AA38" s="150" t="s">
        <v>213</v>
      </c>
      <c r="AB38" s="59" t="s">
        <v>15</v>
      </c>
      <c r="AI38" s="42"/>
      <c r="AJ38" s="60"/>
      <c r="AK38" s="60"/>
      <c r="AM38" s="139"/>
      <c r="AN38" s="139"/>
      <c r="AO38" s="139"/>
      <c r="AP38" s="139"/>
      <c r="AQ38" s="139"/>
      <c r="AS38" s="139"/>
      <c r="AT38" s="139"/>
      <c r="AU38" s="139"/>
      <c r="AV38" s="139"/>
      <c r="AW38" s="139"/>
      <c r="AY38" s="97"/>
      <c r="AZ38" s="209"/>
      <c r="BA38" s="97"/>
      <c r="BB38" s="97"/>
      <c r="BC38" s="97"/>
      <c r="BO38" s="60"/>
      <c r="BP38" s="60"/>
      <c r="BQ38" s="60"/>
      <c r="BR38" s="60"/>
      <c r="BS38" s="60"/>
      <c r="BT38" s="60"/>
      <c r="BW38" s="146"/>
      <c r="BX38" s="146" t="str">
        <f>E38</f>
        <v>Health &amp; Wellbeing</v>
      </c>
      <c r="BY38" s="146">
        <f>IFERROR(VLOOKUP($E38,'Pre-Assessment Estimator'!$E$11:$AI$228,'Pre-Assessment Estimator'!AI$2,FALSE),"")</f>
        <v>0</v>
      </c>
      <c r="BZ38" s="146" t="str">
        <f t="shared" si="58"/>
        <v/>
      </c>
      <c r="CA38" s="146" t="str">
        <f t="shared" si="58"/>
        <v/>
      </c>
      <c r="CB38" s="146"/>
      <c r="CC38" s="96" t="str">
        <f t="shared" si="59"/>
        <v/>
      </c>
    </row>
    <row r="39" spans="1:87" x14ac:dyDescent="0.25">
      <c r="A39" s="96">
        <v>31</v>
      </c>
      <c r="B39" s="137" t="str">
        <f>D39</f>
        <v>Hea 01</v>
      </c>
      <c r="C39" s="137" t="str">
        <f>B39</f>
        <v>Hea 01</v>
      </c>
      <c r="D39" s="833" t="s">
        <v>116</v>
      </c>
      <c r="E39" s="831" t="s">
        <v>114</v>
      </c>
      <c r="F39" s="933">
        <f t="shared" ref="F39:K39" si="63">SUM(F41:F45)</f>
        <v>7</v>
      </c>
      <c r="G39" s="933">
        <f t="shared" si="63"/>
        <v>7</v>
      </c>
      <c r="H39" s="933">
        <f t="shared" si="63"/>
        <v>5</v>
      </c>
      <c r="I39" s="933">
        <f t="shared" si="63"/>
        <v>7</v>
      </c>
      <c r="J39" s="933">
        <f t="shared" si="63"/>
        <v>7</v>
      </c>
      <c r="K39" s="933">
        <f t="shared" si="63"/>
        <v>7</v>
      </c>
      <c r="L39" s="933">
        <f t="shared" ref="L39:R39" si="64">SUM(L41:L45)</f>
        <v>7</v>
      </c>
      <c r="M39" s="933">
        <f t="shared" si="64"/>
        <v>7</v>
      </c>
      <c r="N39" s="933">
        <f t="shared" si="64"/>
        <v>7</v>
      </c>
      <c r="O39" s="933">
        <f t="shared" si="64"/>
        <v>7</v>
      </c>
      <c r="P39" s="933">
        <f t="shared" si="64"/>
        <v>7</v>
      </c>
      <c r="Q39" s="933">
        <f t="shared" ref="Q39" si="65">SUM(Q41:Q45)</f>
        <v>7</v>
      </c>
      <c r="R39" s="933">
        <f t="shared" si="64"/>
        <v>7</v>
      </c>
      <c r="T39" s="961">
        <f t="shared" ref="T39:T54" si="66">HLOOKUP($E$6,$F$9:$R$231,$A39,FALSE)</f>
        <v>7</v>
      </c>
      <c r="U39" s="222"/>
      <c r="V39" s="230"/>
      <c r="W39" s="230"/>
      <c r="X39" s="1098">
        <f>'Manuell filtrering og justering'!E17</f>
        <v>0</v>
      </c>
      <c r="Y39" s="963"/>
      <c r="Z39" s="1177">
        <f t="shared" ref="Z39:AB39" si="67">SUM(Z41:Z45)</f>
        <v>7</v>
      </c>
      <c r="AA39" s="963">
        <f t="shared" ref="AA39:AA54" si="68">IF(SUM(U39:Y39)&gt;T39,T39,SUM(U39:Y39))</f>
        <v>0</v>
      </c>
      <c r="AB39" s="1066">
        <f t="shared" si="67"/>
        <v>7</v>
      </c>
      <c r="AD39" s="171">
        <f t="shared" ref="AD39:AD65" si="69">(Hea_Weight/Hea_Credits)*AB39</f>
        <v>5.894736842105263E-2</v>
      </c>
      <c r="AE39" s="921">
        <f>SUM(AE41:AE45)</f>
        <v>0</v>
      </c>
      <c r="AF39" s="921">
        <f>SUM(AF41:AF45)</f>
        <v>0</v>
      </c>
      <c r="AG39" s="921">
        <f>SUM(AG41:AG45)</f>
        <v>0</v>
      </c>
      <c r="AI39" s="958">
        <f t="shared" ref="AI39:AK39" si="70">SUM(AI41:AI45)</f>
        <v>0</v>
      </c>
      <c r="AJ39" s="958">
        <f t="shared" si="70"/>
        <v>0</v>
      </c>
      <c r="AK39" s="958">
        <f t="shared" si="70"/>
        <v>0</v>
      </c>
      <c r="AL39" s="96" t="s">
        <v>425</v>
      </c>
      <c r="AM39" s="298"/>
      <c r="AN39" s="299"/>
      <c r="AO39" s="299"/>
      <c r="AP39" s="299"/>
      <c r="AQ39" s="300"/>
      <c r="AS39" s="298"/>
      <c r="AT39" s="299"/>
      <c r="AU39" s="299"/>
      <c r="AV39" s="299"/>
      <c r="AW39" s="300"/>
      <c r="AY39" s="218"/>
      <c r="AZ39" s="219"/>
      <c r="BA39" s="219"/>
      <c r="BB39" s="219"/>
      <c r="BC39" s="220"/>
      <c r="BD39" s="174">
        <f t="shared" si="60"/>
        <v>9</v>
      </c>
      <c r="BE39" s="164" t="str">
        <f t="shared" ref="BE39:BE65" si="71">VLOOKUP(BD39,$BO$285:$BT$291,6,FALSE)</f>
        <v>N/A</v>
      </c>
      <c r="BF39" s="178"/>
      <c r="BG39" s="174">
        <f t="shared" ref="BG39:BG65" si="72">IF(BC39=0,9,IF(AJ39&gt;=BC39,5,IF(AJ39&gt;=BB39,4,IF(AJ39&gt;=BA39,3,IF(AJ39&gt;=AZ39,2,IF(AJ39&lt;AY39,0,1))))))</f>
        <v>9</v>
      </c>
      <c r="BH39" s="164" t="str">
        <f t="shared" ref="BH39:BH65" si="73">VLOOKUP(BG39,$BO$285:$BT$291,6,FALSE)</f>
        <v>N/A</v>
      </c>
      <c r="BI39" s="178"/>
      <c r="BJ39" s="174">
        <f t="shared" si="28"/>
        <v>9</v>
      </c>
      <c r="BK39" s="164" t="str">
        <f t="shared" ref="BK39:BK65" si="74">VLOOKUP(BJ39,$BO$285:$BT$291,6,FALSE)</f>
        <v>N/A</v>
      </c>
      <c r="BL39" s="178"/>
      <c r="BO39" s="167"/>
      <c r="BP39" s="167"/>
      <c r="BQ39" s="167" t="str">
        <f t="shared" si="15"/>
        <v/>
      </c>
      <c r="BR39" s="167">
        <f t="shared" si="55"/>
        <v>9</v>
      </c>
      <c r="BS39" s="167">
        <f t="shared" si="56"/>
        <v>9</v>
      </c>
      <c r="BT39" s="167">
        <f t="shared" si="57"/>
        <v>9</v>
      </c>
      <c r="BW39" s="674" t="str">
        <f>D39</f>
        <v>Hea 01</v>
      </c>
      <c r="BX39" s="164" t="str">
        <f>IFERROR(VLOOKUP($E39,'Pre-Assessment Estimator'!$E$11:$AB$228,'Pre-Assessment Estimator'!AB$2,FALSE),"")</f>
        <v>No</v>
      </c>
      <c r="BY39" s="674" t="str">
        <f>IFERROR(VLOOKUP($E39,'Pre-Assessment Estimator'!$E$11:$AI$228,'Pre-Assessment Estimator'!AI$2,FALSE),"")</f>
        <v>Ja</v>
      </c>
      <c r="BZ39" s="164">
        <f>IFERROR(VLOOKUP($BX39,$E$294:$H$327,F$292,FALSE),"")</f>
        <v>1</v>
      </c>
      <c r="CA39" s="672" t="s">
        <v>428</v>
      </c>
      <c r="CB39" s="164">
        <f>H299</f>
        <v>2</v>
      </c>
      <c r="CC39" s="96" t="str">
        <f t="shared" si="59"/>
        <v/>
      </c>
      <c r="CD39" s="681" t="s">
        <v>403</v>
      </c>
      <c r="CE39" s="167">
        <f t="shared" ref="CE39:CE55" si="75">VLOOKUP(CA39,$CA$4:$CB$5,2,FALSE)</f>
        <v>0</v>
      </c>
      <c r="CG39" s="681">
        <f>IF($BX$5=ais_nei,CE39,IF(CD39=$BY$5,IF(AND(CA39=$CA$4,BX39=$CC$4),0,BZ39),CE39))</f>
        <v>0</v>
      </c>
    </row>
    <row r="40" spans="1:87" x14ac:dyDescent="0.25">
      <c r="A40" s="96">
        <v>32</v>
      </c>
      <c r="B40" s="137"/>
      <c r="C40" s="96" t="str">
        <f t="shared" si="19"/>
        <v>Hea 01</v>
      </c>
      <c r="D40" s="833" t="s">
        <v>692</v>
      </c>
      <c r="E40" s="940" t="s">
        <v>1065</v>
      </c>
      <c r="F40" s="767"/>
      <c r="G40" s="767"/>
      <c r="H40" s="767"/>
      <c r="I40" s="767"/>
      <c r="J40" s="767"/>
      <c r="K40" s="767"/>
      <c r="L40" s="767"/>
      <c r="M40" s="767"/>
      <c r="N40" s="767"/>
      <c r="O40" s="767"/>
      <c r="P40" s="767"/>
      <c r="Q40" s="767"/>
      <c r="R40" s="767"/>
      <c r="T40" s="212">
        <f t="shared" si="66"/>
        <v>0</v>
      </c>
      <c r="U40" s="166"/>
      <c r="V40" s="167"/>
      <c r="W40" s="167"/>
      <c r="X40" s="168"/>
      <c r="Y40" s="169"/>
      <c r="Z40" s="1158"/>
      <c r="AA40" s="169">
        <f t="shared" si="68"/>
        <v>0</v>
      </c>
      <c r="AB40" s="170">
        <f>IF($AC$5='Manuell filtrering og justering'!$J$2,Z40,(T40-AA40))</f>
        <v>0</v>
      </c>
      <c r="AD40" s="171">
        <f t="shared" ref="AD40" si="76">(Hea_Weight/Hea_Credits)*AB40</f>
        <v>0</v>
      </c>
      <c r="AE40" s="171">
        <f t="shared" ref="AE40" si="77">IF(AB40=0,0,(AD40/AB40)*AI40)</f>
        <v>0</v>
      </c>
      <c r="AF40" s="171">
        <f t="shared" ref="AF40" si="78">IF(AB40=0,0,(AD40/AB40)*AJ40)</f>
        <v>0</v>
      </c>
      <c r="AG40" s="171">
        <f t="shared" ref="AG40" si="79">IF(AB40=0,0,(AD40/AB40)*AK40)</f>
        <v>0</v>
      </c>
      <c r="AI40" s="172"/>
      <c r="AJ40" s="172"/>
      <c r="AK40" s="172"/>
      <c r="AM40" s="291"/>
      <c r="AN40" s="181"/>
      <c r="AO40" s="304"/>
      <c r="AP40" s="293"/>
      <c r="AQ40" s="294"/>
      <c r="AS40" s="292"/>
      <c r="AT40" s="293"/>
      <c r="AU40" s="293"/>
      <c r="AV40" s="293"/>
      <c r="AW40" s="294"/>
      <c r="AY40" s="182"/>
      <c r="AZ40" s="183"/>
      <c r="BA40" s="183"/>
      <c r="BB40" s="183"/>
      <c r="BC40" s="176"/>
      <c r="BD40" s="687">
        <f t="shared" ref="BD40" si="80">IF(BC40=0,9,IF((AI40-CG40)&gt;=BC40,5,IF((AI40-CG40)&gt;=BB40,4,IF((AI40-CG40)&gt;=BA40,3,IF((AI40-CG40)&gt;=AZ40,2,IF((AI40-CG40)&lt;AY40,0,1))))))</f>
        <v>9</v>
      </c>
      <c r="BE40" s="164" t="str">
        <f t="shared" si="71"/>
        <v>N/A</v>
      </c>
      <c r="BF40" s="185"/>
      <c r="BG40" s="182">
        <f t="shared" ref="BG40" si="81">IF(BC40=0,9,IF((AJ40-CG40)&gt;=BC40,5,IF((AJ40-CG40)&gt;=BB40,4,IF((AJ40-CG40)&gt;=BA40,3,IF((AJ40-CG40)&gt;=AZ40,2,IF((AJ40-CG40)&lt;AY40,0,1))))))</f>
        <v>9</v>
      </c>
      <c r="BH40" s="164" t="str">
        <f t="shared" si="73"/>
        <v>N/A</v>
      </c>
      <c r="BI40" s="185"/>
      <c r="BJ40" s="182">
        <f t="shared" ref="BJ40" si="82">IF(BC40=0,9,IF((AK40-CG40)&gt;=BC40,5,IF((AK40-CG40)&gt;=BB40,4,IF((AK40-CG40)&gt;=BA40,3,IF((AK40-CG40)&gt;=AZ40,2,IF((AK40-CG40)&lt;AY40,0,1))))))</f>
        <v>9</v>
      </c>
      <c r="BK40" s="164" t="str">
        <f t="shared" si="74"/>
        <v>N/A</v>
      </c>
      <c r="BL40" s="185"/>
      <c r="BO40" s="167"/>
      <c r="BP40" s="167"/>
      <c r="BQ40" s="167" t="str">
        <f t="shared" si="15"/>
        <v/>
      </c>
      <c r="BR40" s="167">
        <f t="shared" si="55"/>
        <v>9</v>
      </c>
      <c r="BS40" s="167">
        <f t="shared" si="56"/>
        <v>9</v>
      </c>
      <c r="BT40" s="167">
        <f t="shared" si="57"/>
        <v>9</v>
      </c>
      <c r="BW40" s="674"/>
      <c r="BX40" s="164"/>
      <c r="BY40" s="674"/>
      <c r="BZ40" s="164"/>
      <c r="CA40" s="672"/>
      <c r="CB40" s="164"/>
      <c r="CD40" s="681"/>
      <c r="CE40" s="167"/>
      <c r="CG40" s="681"/>
    </row>
    <row r="41" spans="1:87" x14ac:dyDescent="0.25">
      <c r="A41" s="96">
        <v>33</v>
      </c>
      <c r="B41" s="96" t="str">
        <f t="shared" ref="B41:B45" si="83">$D$39&amp;D41</f>
        <v>Hea 01b</v>
      </c>
      <c r="C41" s="96" t="str">
        <f t="shared" si="19"/>
        <v>Hea 01</v>
      </c>
      <c r="D41" s="163" t="s">
        <v>695</v>
      </c>
      <c r="E41" s="1107" t="s">
        <v>602</v>
      </c>
      <c r="F41" s="939">
        <v>3</v>
      </c>
      <c r="G41" s="939">
        <v>3</v>
      </c>
      <c r="H41" s="939">
        <v>3</v>
      </c>
      <c r="I41" s="939">
        <v>3</v>
      </c>
      <c r="J41" s="939">
        <v>3</v>
      </c>
      <c r="K41" s="939">
        <v>3</v>
      </c>
      <c r="L41" s="939">
        <v>3</v>
      </c>
      <c r="M41" s="1278">
        <v>3</v>
      </c>
      <c r="N41" s="1278">
        <v>3</v>
      </c>
      <c r="O41" s="1278">
        <v>3</v>
      </c>
      <c r="P41" s="1278">
        <v>3</v>
      </c>
      <c r="Q41" s="1278">
        <v>3</v>
      </c>
      <c r="R41" s="1278">
        <v>3</v>
      </c>
      <c r="T41" s="212">
        <f t="shared" si="66"/>
        <v>3</v>
      </c>
      <c r="U41" s="166"/>
      <c r="V41" s="167"/>
      <c r="W41" s="167"/>
      <c r="X41" s="168"/>
      <c r="Y41" s="169"/>
      <c r="Z41" s="1158">
        <f>VLOOKUP(B41,'Manuell filtrering og justering'!$A$7:$H$107,'Manuell filtrering og justering'!$H$1,FALSE)</f>
        <v>3</v>
      </c>
      <c r="AA41" s="169">
        <f t="shared" si="68"/>
        <v>0</v>
      </c>
      <c r="AB41" s="170">
        <f>IF($AC$5='Manuell filtrering og justering'!$J$2,Z41,(T41-AA41))</f>
        <v>3</v>
      </c>
      <c r="AD41" s="171">
        <f t="shared" si="69"/>
        <v>2.5263157894736842E-2</v>
      </c>
      <c r="AE41" s="171">
        <f>IF(AB41=0,0,(AD41/AB41)*AI41)</f>
        <v>0</v>
      </c>
      <c r="AF41" s="171">
        <f>IF(AB41=0,0,(AD41/AB41)*AJ41)</f>
        <v>0</v>
      </c>
      <c r="AG41" s="171">
        <f>IF(AB41=0,0,(AD41/AB41)*AK41)</f>
        <v>0</v>
      </c>
      <c r="AI41" s="1067">
        <f>IF(AI$234=AD_no,0,IF(VLOOKUP(E41,'Pre-Assessment Estimator'!$E$11:$Z$228,'Pre-Assessment Estimator'!$G$2,FALSE)&gt;AB41,AB41,VLOOKUP(E41,'Pre-Assessment Estimator'!$E$11:$Z$228,'Pre-Assessment Estimator'!$G$2,FALSE)))</f>
        <v>0</v>
      </c>
      <c r="AJ41" s="1067">
        <f>IF($AJ$234=AD_no,0,IF(VLOOKUP(E41,'Pre-Assessment Estimator'!$E$11:$Z$228,'Pre-Assessment Estimator'!$N$2,FALSE)&gt;AB41,AB41,VLOOKUP(E41,'Pre-Assessment Estimator'!$E$11:$Z$228,'Pre-Assessment Estimator'!$N$2,FALSE)))</f>
        <v>0</v>
      </c>
      <c r="AK41" s="1067">
        <f>IF($AK$234=AD_no,0,IF(VLOOKUP(E41,'Pre-Assessment Estimator'!$E$11:$Z$228,'Pre-Assessment Estimator'!$U$2,FALSE)&gt;AB41,AB41,VLOOKUP(E41,'Pre-Assessment Estimator'!$E$11:$Z$228,'Pre-Assessment Estimator'!$U$2,FALSE)))</f>
        <v>0</v>
      </c>
      <c r="AM41" s="835"/>
      <c r="AN41" s="836"/>
      <c r="AO41" s="836"/>
      <c r="AP41" s="836"/>
      <c r="AQ41" s="837"/>
      <c r="AS41" s="835"/>
      <c r="AT41" s="836"/>
      <c r="AU41" s="836"/>
      <c r="AV41" s="836"/>
      <c r="AW41" s="837"/>
      <c r="AY41" s="708"/>
      <c r="AZ41" s="709"/>
      <c r="BA41" s="709"/>
      <c r="BB41" s="709"/>
      <c r="BC41" s="838"/>
      <c r="BD41" s="687">
        <f t="shared" ref="BD41:BD45" si="84">IF(BC41=0,9,IF((AI41-CG41)&gt;=BC41,5,IF((AI41-CG41)&gt;=BB41,4,IF((AI41-CG41)&gt;=BA41,3,IF((AI41-CG41)&gt;=AZ41,2,IF((AI41-CG41)&lt;AY41,0,1))))))</f>
        <v>9</v>
      </c>
      <c r="BE41" s="164" t="str">
        <f t="shared" si="71"/>
        <v>N/A</v>
      </c>
      <c r="BF41" s="185"/>
      <c r="BG41" s="182">
        <f t="shared" ref="BG41:BG45" si="85">IF(BC41=0,9,IF((AJ41-CG41)&gt;=BC41,5,IF((AJ41-CG41)&gt;=BB41,4,IF((AJ41-CG41)&gt;=BA41,3,IF((AJ41-CG41)&gt;=AZ41,2,IF((AJ41-CG41)&lt;AY41,0,1))))))</f>
        <v>9</v>
      </c>
      <c r="BH41" s="164" t="str">
        <f t="shared" si="73"/>
        <v>N/A</v>
      </c>
      <c r="BI41" s="185"/>
      <c r="BJ41" s="182">
        <f t="shared" ref="BJ41:BJ45" si="86">IF(BC41=0,9,IF((AK41-CG41)&gt;=BC41,5,IF((AK41-CG41)&gt;=BB41,4,IF((AK41-CG41)&gt;=BA41,3,IF((AK41-CG41)&gt;=AZ41,2,IF((AK41-CG41)&lt;AY41,0,1))))))</f>
        <v>9</v>
      </c>
      <c r="BK41" s="164" t="str">
        <f t="shared" si="74"/>
        <v>N/A</v>
      </c>
      <c r="BL41" s="830"/>
      <c r="BO41" s="167"/>
      <c r="BP41" s="167"/>
      <c r="BQ41" s="167" t="str">
        <f t="shared" si="15"/>
        <v/>
      </c>
      <c r="BR41" s="167">
        <f t="shared" si="55"/>
        <v>9</v>
      </c>
      <c r="BS41" s="167">
        <f t="shared" si="56"/>
        <v>9</v>
      </c>
      <c r="BT41" s="167">
        <f t="shared" si="57"/>
        <v>9</v>
      </c>
      <c r="BW41" s="674"/>
      <c r="BX41" s="164"/>
      <c r="BY41" s="674"/>
      <c r="BZ41" s="164"/>
      <c r="CA41" s="672"/>
      <c r="CB41" s="164"/>
      <c r="CD41" s="681"/>
      <c r="CE41" s="167"/>
      <c r="CG41" s="681"/>
    </row>
    <row r="42" spans="1:87" x14ac:dyDescent="0.25">
      <c r="A42" s="96">
        <v>34</v>
      </c>
      <c r="B42" s="96" t="str">
        <f t="shared" si="83"/>
        <v>Hea 01c</v>
      </c>
      <c r="C42" s="96" t="str">
        <f t="shared" si="19"/>
        <v>Hea 01</v>
      </c>
      <c r="D42" s="163" t="s">
        <v>696</v>
      </c>
      <c r="E42" s="1107" t="s">
        <v>603</v>
      </c>
      <c r="F42" s="939">
        <v>1</v>
      </c>
      <c r="G42" s="939">
        <v>1</v>
      </c>
      <c r="H42" s="1022">
        <v>0</v>
      </c>
      <c r="I42" s="939">
        <v>1</v>
      </c>
      <c r="J42" s="939">
        <v>1</v>
      </c>
      <c r="K42" s="939">
        <v>1</v>
      </c>
      <c r="L42" s="939">
        <v>1</v>
      </c>
      <c r="M42" s="939">
        <v>1</v>
      </c>
      <c r="N42" s="939">
        <v>1</v>
      </c>
      <c r="O42" s="939">
        <v>1</v>
      </c>
      <c r="P42" s="939">
        <v>1</v>
      </c>
      <c r="Q42" s="1278">
        <v>1</v>
      </c>
      <c r="R42" s="939">
        <v>1</v>
      </c>
      <c r="T42" s="212">
        <f t="shared" si="66"/>
        <v>1</v>
      </c>
      <c r="U42" s="166"/>
      <c r="V42" s="167"/>
      <c r="W42" s="167"/>
      <c r="X42" s="168"/>
      <c r="Y42" s="169">
        <f>IF(OR($Y$4=$Y$5,$Y$4=$Y$6),T42,0)</f>
        <v>0</v>
      </c>
      <c r="Z42" s="1158">
        <f>VLOOKUP(B42,'Manuell filtrering og justering'!$A$7:$H$107,'Manuell filtrering og justering'!$H$1,FALSE)</f>
        <v>1</v>
      </c>
      <c r="AA42" s="169">
        <f t="shared" si="68"/>
        <v>0</v>
      </c>
      <c r="AB42" s="170">
        <f>IF($AC$5='Manuell filtrering og justering'!$J$2,Z42,(T42-AA42))</f>
        <v>1</v>
      </c>
      <c r="AD42" s="171">
        <f t="shared" si="69"/>
        <v>8.4210526315789472E-3</v>
      </c>
      <c r="AE42" s="171">
        <f t="shared" ref="AE42:AE64" si="87">IF(AB42=0,0,(AD42/AB42)*AI42)</f>
        <v>0</v>
      </c>
      <c r="AF42" s="171">
        <f t="shared" ref="AF42:AF64" si="88">IF(AB42=0,0,(AD42/AB42)*AJ42)</f>
        <v>0</v>
      </c>
      <c r="AG42" s="171">
        <f t="shared" ref="AG42:AG64" si="89">IF(AB42=0,0,(AD42/AB42)*AK42)</f>
        <v>0</v>
      </c>
      <c r="AI42" s="1067">
        <f>IF(AI$234=AD_no,0,IF(VLOOKUP(E42,'Pre-Assessment Estimator'!$E$11:$Z$228,'Pre-Assessment Estimator'!$G$2,FALSE)&gt;AB42,AB42,VLOOKUP(E42,'Pre-Assessment Estimator'!$E$11:$Z$228,'Pre-Assessment Estimator'!$G$2,FALSE)))</f>
        <v>0</v>
      </c>
      <c r="AJ42" s="1067">
        <f>IF($AJ$234=AD_no,0,IF(VLOOKUP(E42,'Pre-Assessment Estimator'!$E$11:$Z$228,'Pre-Assessment Estimator'!$N$2,FALSE)&gt;AB42,AB42,VLOOKUP(E42,'Pre-Assessment Estimator'!$E$11:$Z$228,'Pre-Assessment Estimator'!$N$2,FALSE)))</f>
        <v>0</v>
      </c>
      <c r="AK42" s="1067">
        <f>IF($AK$234=AD_no,0,IF(VLOOKUP(E42,'Pre-Assessment Estimator'!$E$11:$Z$228,'Pre-Assessment Estimator'!$U$2,FALSE)&gt;AB42,AB42,VLOOKUP(E42,'Pre-Assessment Estimator'!$E$11:$Z$228,'Pre-Assessment Estimator'!$U$2,FALSE)))</f>
        <v>0</v>
      </c>
      <c r="AM42" s="835"/>
      <c r="AN42" s="836"/>
      <c r="AO42" s="836"/>
      <c r="AP42" s="836"/>
      <c r="AQ42" s="837"/>
      <c r="AS42" s="835"/>
      <c r="AT42" s="836"/>
      <c r="AU42" s="836"/>
      <c r="AV42" s="836"/>
      <c r="AW42" s="837"/>
      <c r="AY42" s="708"/>
      <c r="AZ42" s="709"/>
      <c r="BA42" s="709"/>
      <c r="BB42" s="709"/>
      <c r="BC42" s="838"/>
      <c r="BD42" s="687">
        <f t="shared" si="84"/>
        <v>9</v>
      </c>
      <c r="BE42" s="164" t="str">
        <f t="shared" si="71"/>
        <v>N/A</v>
      </c>
      <c r="BF42" s="185"/>
      <c r="BG42" s="182">
        <f t="shared" si="85"/>
        <v>9</v>
      </c>
      <c r="BH42" s="164" t="str">
        <f t="shared" si="73"/>
        <v>N/A</v>
      </c>
      <c r="BI42" s="185"/>
      <c r="BJ42" s="182">
        <f t="shared" si="86"/>
        <v>9</v>
      </c>
      <c r="BK42" s="164" t="str">
        <f t="shared" si="74"/>
        <v>N/A</v>
      </c>
      <c r="BL42" s="830"/>
      <c r="BO42" s="167"/>
      <c r="BP42" s="167"/>
      <c r="BQ42" s="167" t="str">
        <f t="shared" si="15"/>
        <v/>
      </c>
      <c r="BR42" s="167">
        <f t="shared" si="55"/>
        <v>9</v>
      </c>
      <c r="BS42" s="167">
        <f t="shared" si="56"/>
        <v>9</v>
      </c>
      <c r="BT42" s="167">
        <f t="shared" si="57"/>
        <v>9</v>
      </c>
      <c r="BW42" s="674"/>
      <c r="BX42" s="164"/>
      <c r="BY42" s="674"/>
      <c r="BZ42" s="164"/>
      <c r="CA42" s="672"/>
      <c r="CB42" s="164"/>
      <c r="CD42" s="681"/>
      <c r="CE42" s="167"/>
      <c r="CG42" s="681"/>
    </row>
    <row r="43" spans="1:87" x14ac:dyDescent="0.25">
      <c r="A43" s="96">
        <v>35</v>
      </c>
      <c r="B43" s="96" t="str">
        <f t="shared" si="83"/>
        <v>Hea 01d</v>
      </c>
      <c r="C43" s="96" t="str">
        <f t="shared" si="19"/>
        <v>Hea 01</v>
      </c>
      <c r="D43" s="163" t="s">
        <v>694</v>
      </c>
      <c r="E43" s="1107" t="s">
        <v>604</v>
      </c>
      <c r="F43" s="939">
        <v>1</v>
      </c>
      <c r="G43" s="939">
        <v>1</v>
      </c>
      <c r="H43" s="939">
        <v>1</v>
      </c>
      <c r="I43" s="939">
        <v>1</v>
      </c>
      <c r="J43" s="939">
        <v>1</v>
      </c>
      <c r="K43" s="939">
        <v>1</v>
      </c>
      <c r="L43" s="939">
        <v>1</v>
      </c>
      <c r="M43" s="1278">
        <v>1</v>
      </c>
      <c r="N43" s="1278">
        <v>1</v>
      </c>
      <c r="O43" s="1278">
        <v>1</v>
      </c>
      <c r="P43" s="1278">
        <v>1</v>
      </c>
      <c r="Q43" s="1278">
        <v>1</v>
      </c>
      <c r="R43" s="1278">
        <v>1</v>
      </c>
      <c r="T43" s="212">
        <f t="shared" si="66"/>
        <v>1</v>
      </c>
      <c r="U43" s="166"/>
      <c r="V43" s="167"/>
      <c r="W43" s="167"/>
      <c r="X43" s="168"/>
      <c r="Y43" s="169"/>
      <c r="Z43" s="1158">
        <f>VLOOKUP(B43,'Manuell filtrering og justering'!$A$7:$H$107,'Manuell filtrering og justering'!$H$1,FALSE)</f>
        <v>1</v>
      </c>
      <c r="AA43" s="169">
        <f t="shared" si="68"/>
        <v>0</v>
      </c>
      <c r="AB43" s="170">
        <f>IF($AC$5='Manuell filtrering og justering'!$J$2,Z43,(T43-AA43))</f>
        <v>1</v>
      </c>
      <c r="AD43" s="171">
        <f t="shared" si="69"/>
        <v>8.4210526315789472E-3</v>
      </c>
      <c r="AE43" s="171">
        <f t="shared" si="87"/>
        <v>0</v>
      </c>
      <c r="AF43" s="171">
        <f t="shared" si="88"/>
        <v>0</v>
      </c>
      <c r="AG43" s="171">
        <f t="shared" si="89"/>
        <v>0</v>
      </c>
      <c r="AI43" s="1067">
        <f>IF(AI$234=AD_no,0,IF(VLOOKUP(E43,'Pre-Assessment Estimator'!$E$11:$Z$228,'Pre-Assessment Estimator'!$G$2,FALSE)&gt;AB43,AB43,VLOOKUP(E43,'Pre-Assessment Estimator'!$E$11:$Z$228,'Pre-Assessment Estimator'!$G$2,FALSE)))</f>
        <v>0</v>
      </c>
      <c r="AJ43" s="1067">
        <f>IF($AJ$234=AD_no,0,IF(VLOOKUP(E43,'Pre-Assessment Estimator'!$E$11:$Z$228,'Pre-Assessment Estimator'!$N$2,FALSE)&gt;AB43,AB43,VLOOKUP(E43,'Pre-Assessment Estimator'!$E$11:$Z$228,'Pre-Assessment Estimator'!$N$2,FALSE)))</f>
        <v>0</v>
      </c>
      <c r="AK43" s="1067">
        <f>IF($AK$234=AD_no,0,IF(VLOOKUP(E43,'Pre-Assessment Estimator'!$E$11:$Z$228,'Pre-Assessment Estimator'!$U$2,FALSE)&gt;AB43,AB43,VLOOKUP(E43,'Pre-Assessment Estimator'!$E$11:$Z$228,'Pre-Assessment Estimator'!$U$2,FALSE)))</f>
        <v>0</v>
      </c>
      <c r="AM43" s="835"/>
      <c r="AN43" s="836"/>
      <c r="AO43" s="836"/>
      <c r="AP43" s="836"/>
      <c r="AQ43" s="837"/>
      <c r="AS43" s="835"/>
      <c r="AT43" s="836"/>
      <c r="AU43" s="836"/>
      <c r="AV43" s="836"/>
      <c r="AW43" s="837"/>
      <c r="AY43" s="708"/>
      <c r="AZ43" s="709"/>
      <c r="BA43" s="709"/>
      <c r="BB43" s="709"/>
      <c r="BC43" s="838"/>
      <c r="BD43" s="687">
        <f t="shared" si="84"/>
        <v>9</v>
      </c>
      <c r="BE43" s="164" t="str">
        <f t="shared" si="71"/>
        <v>N/A</v>
      </c>
      <c r="BF43" s="185"/>
      <c r="BG43" s="182">
        <f t="shared" si="85"/>
        <v>9</v>
      </c>
      <c r="BH43" s="164" t="str">
        <f t="shared" si="73"/>
        <v>N/A</v>
      </c>
      <c r="BI43" s="185"/>
      <c r="BJ43" s="182">
        <f t="shared" si="86"/>
        <v>9</v>
      </c>
      <c r="BK43" s="164" t="str">
        <f t="shared" si="74"/>
        <v>N/A</v>
      </c>
      <c r="BL43" s="830"/>
      <c r="BO43" s="167"/>
      <c r="BP43" s="167"/>
      <c r="BQ43" s="167" t="str">
        <f t="shared" si="15"/>
        <v/>
      </c>
      <c r="BR43" s="167">
        <f t="shared" si="55"/>
        <v>9</v>
      </c>
      <c r="BS43" s="167">
        <f t="shared" si="56"/>
        <v>9</v>
      </c>
      <c r="BT43" s="167">
        <f t="shared" si="57"/>
        <v>9</v>
      </c>
      <c r="BW43" s="674"/>
      <c r="BX43" s="164"/>
      <c r="BY43" s="674"/>
      <c r="BZ43" s="164"/>
      <c r="CA43" s="672"/>
      <c r="CB43" s="164"/>
      <c r="CD43" s="681"/>
      <c r="CE43" s="167"/>
      <c r="CG43" s="681"/>
    </row>
    <row r="44" spans="1:87" x14ac:dyDescent="0.25">
      <c r="A44" s="96">
        <v>36</v>
      </c>
      <c r="B44" s="96" t="str">
        <f t="shared" si="83"/>
        <v>Hea 01e</v>
      </c>
      <c r="C44" s="96" t="str">
        <f t="shared" si="19"/>
        <v>Hea 01</v>
      </c>
      <c r="D44" s="163" t="s">
        <v>693</v>
      </c>
      <c r="E44" s="1107" t="s">
        <v>605</v>
      </c>
      <c r="F44" s="939">
        <v>1</v>
      </c>
      <c r="G44" s="939">
        <v>1</v>
      </c>
      <c r="H44" s="939">
        <v>1</v>
      </c>
      <c r="I44" s="939">
        <v>1</v>
      </c>
      <c r="J44" s="939">
        <v>1</v>
      </c>
      <c r="K44" s="939">
        <v>1</v>
      </c>
      <c r="L44" s="939">
        <v>1</v>
      </c>
      <c r="M44" s="1278">
        <v>1</v>
      </c>
      <c r="N44" s="1278">
        <v>1</v>
      </c>
      <c r="O44" s="1278">
        <v>1</v>
      </c>
      <c r="P44" s="1278">
        <v>1</v>
      </c>
      <c r="Q44" s="1278">
        <v>1</v>
      </c>
      <c r="R44" s="1278">
        <v>1</v>
      </c>
      <c r="T44" s="212">
        <f t="shared" si="66"/>
        <v>1</v>
      </c>
      <c r="U44" s="166"/>
      <c r="V44" s="167"/>
      <c r="W44" s="167"/>
      <c r="X44" s="168"/>
      <c r="Y44" s="169"/>
      <c r="Z44" s="1158">
        <f>VLOOKUP(B44,'Manuell filtrering og justering'!$A$7:$H$107,'Manuell filtrering og justering'!$H$1,FALSE)</f>
        <v>1</v>
      </c>
      <c r="AA44" s="169">
        <f t="shared" si="68"/>
        <v>0</v>
      </c>
      <c r="AB44" s="170">
        <f>IF($AC$5='Manuell filtrering og justering'!$J$2,Z44,(T44-AA44))</f>
        <v>1</v>
      </c>
      <c r="AD44" s="171">
        <f t="shared" si="69"/>
        <v>8.4210526315789472E-3</v>
      </c>
      <c r="AE44" s="171">
        <f t="shared" si="87"/>
        <v>0</v>
      </c>
      <c r="AF44" s="171">
        <f t="shared" si="88"/>
        <v>0</v>
      </c>
      <c r="AG44" s="171">
        <f t="shared" si="89"/>
        <v>0</v>
      </c>
      <c r="AI44" s="1067">
        <f>IF(AI$234=AD_no,0,IF(VLOOKUP(E44,'Pre-Assessment Estimator'!$E$11:$Z$228,'Pre-Assessment Estimator'!$G$2,FALSE)&gt;AB44,AB44,VLOOKUP(E44,'Pre-Assessment Estimator'!$E$11:$Z$228,'Pre-Assessment Estimator'!$G$2,FALSE)))</f>
        <v>0</v>
      </c>
      <c r="AJ44" s="1067">
        <f>IF($AJ$234=AD_no,0,IF(VLOOKUP(E44,'Pre-Assessment Estimator'!$E$11:$Z$228,'Pre-Assessment Estimator'!$N$2,FALSE)&gt;AB44,AB44,VLOOKUP(E44,'Pre-Assessment Estimator'!$E$11:$Z$228,'Pre-Assessment Estimator'!$N$2,FALSE)))</f>
        <v>0</v>
      </c>
      <c r="AK44" s="1067">
        <f>IF($AK$234=AD_no,0,IF(VLOOKUP(E44,'Pre-Assessment Estimator'!$E$11:$Z$228,'Pre-Assessment Estimator'!$U$2,FALSE)&gt;AB44,AB44,VLOOKUP(E44,'Pre-Assessment Estimator'!$E$11:$Z$228,'Pre-Assessment Estimator'!$U$2,FALSE)))</f>
        <v>0</v>
      </c>
      <c r="AM44" s="835"/>
      <c r="AN44" s="836"/>
      <c r="AO44" s="836"/>
      <c r="AP44" s="836"/>
      <c r="AQ44" s="837"/>
      <c r="AS44" s="835"/>
      <c r="AT44" s="836"/>
      <c r="AU44" s="836"/>
      <c r="AV44" s="836"/>
      <c r="AW44" s="837"/>
      <c r="AY44" s="708"/>
      <c r="AZ44" s="709"/>
      <c r="BA44" s="709"/>
      <c r="BB44" s="709"/>
      <c r="BC44" s="838"/>
      <c r="BD44" s="687">
        <f t="shared" si="84"/>
        <v>9</v>
      </c>
      <c r="BE44" s="164" t="str">
        <f t="shared" si="71"/>
        <v>N/A</v>
      </c>
      <c r="BF44" s="185"/>
      <c r="BG44" s="182">
        <f t="shared" si="85"/>
        <v>9</v>
      </c>
      <c r="BH44" s="164" t="str">
        <f t="shared" si="73"/>
        <v>N/A</v>
      </c>
      <c r="BI44" s="185"/>
      <c r="BJ44" s="182">
        <f t="shared" si="86"/>
        <v>9</v>
      </c>
      <c r="BK44" s="164" t="str">
        <f t="shared" si="74"/>
        <v>N/A</v>
      </c>
      <c r="BL44" s="830"/>
      <c r="BO44" s="167"/>
      <c r="BP44" s="167"/>
      <c r="BQ44" s="167" t="str">
        <f t="shared" si="15"/>
        <v/>
      </c>
      <c r="BR44" s="167">
        <f t="shared" si="55"/>
        <v>9</v>
      </c>
      <c r="BS44" s="167">
        <f t="shared" si="56"/>
        <v>9</v>
      </c>
      <c r="BT44" s="167">
        <f t="shared" si="57"/>
        <v>9</v>
      </c>
      <c r="BW44" s="674"/>
      <c r="BX44" s="164"/>
      <c r="BY44" s="674"/>
      <c r="BZ44" s="164"/>
      <c r="CA44" s="672"/>
      <c r="CB44" s="164"/>
      <c r="CD44" s="681"/>
      <c r="CE44" s="167"/>
      <c r="CG44" s="681"/>
    </row>
    <row r="45" spans="1:87" x14ac:dyDescent="0.25">
      <c r="A45" s="96">
        <v>37</v>
      </c>
      <c r="B45" s="96" t="str">
        <f t="shared" si="83"/>
        <v>Hea 01f</v>
      </c>
      <c r="C45" s="96" t="str">
        <f t="shared" si="19"/>
        <v>Hea 01</v>
      </c>
      <c r="D45" s="163" t="s">
        <v>908</v>
      </c>
      <c r="E45" s="1107" t="s">
        <v>606</v>
      </c>
      <c r="F45" s="939">
        <v>1</v>
      </c>
      <c r="G45" s="939">
        <v>1</v>
      </c>
      <c r="H45" s="1022">
        <v>0</v>
      </c>
      <c r="I45" s="939">
        <v>1</v>
      </c>
      <c r="J45" s="939">
        <v>1</v>
      </c>
      <c r="K45" s="939">
        <v>1</v>
      </c>
      <c r="L45" s="939">
        <v>1</v>
      </c>
      <c r="M45" s="939">
        <v>1</v>
      </c>
      <c r="N45" s="939">
        <v>1</v>
      </c>
      <c r="O45" s="939">
        <v>1</v>
      </c>
      <c r="P45" s="939">
        <v>1</v>
      </c>
      <c r="Q45" s="1278">
        <v>1</v>
      </c>
      <c r="R45" s="939">
        <v>1</v>
      </c>
      <c r="T45" s="212">
        <f t="shared" si="66"/>
        <v>1</v>
      </c>
      <c r="U45" s="166"/>
      <c r="V45" s="167"/>
      <c r="W45" s="167"/>
      <c r="X45" s="168"/>
      <c r="Y45" s="169"/>
      <c r="Z45" s="1158">
        <f>VLOOKUP(B45,'Manuell filtrering og justering'!$A$7:$H$107,'Manuell filtrering og justering'!$H$1,FALSE)</f>
        <v>1</v>
      </c>
      <c r="AA45" s="169">
        <f t="shared" si="68"/>
        <v>0</v>
      </c>
      <c r="AB45" s="170">
        <f>IF($AC$5='Manuell filtrering og justering'!$J$2,Z45,(T45-AA45))</f>
        <v>1</v>
      </c>
      <c r="AD45" s="171">
        <f t="shared" si="69"/>
        <v>8.4210526315789472E-3</v>
      </c>
      <c r="AE45" s="171">
        <f t="shared" si="87"/>
        <v>0</v>
      </c>
      <c r="AF45" s="171">
        <f t="shared" si="88"/>
        <v>0</v>
      </c>
      <c r="AG45" s="171">
        <f t="shared" si="89"/>
        <v>0</v>
      </c>
      <c r="AI45" s="1067">
        <f>IF(AI$234=AD_no,0,IF(VLOOKUP(E45,'Pre-Assessment Estimator'!$E$11:$Z$228,'Pre-Assessment Estimator'!$G$2,FALSE)&gt;AB45,AB45,VLOOKUP(E45,'Pre-Assessment Estimator'!$E$11:$Z$228,'Pre-Assessment Estimator'!$G$2,FALSE)))</f>
        <v>0</v>
      </c>
      <c r="AJ45" s="1067">
        <f>IF($AJ$234=AD_no,0,IF(VLOOKUP(E45,'Pre-Assessment Estimator'!$E$11:$Z$228,'Pre-Assessment Estimator'!$N$2,FALSE)&gt;AB45,AB45,VLOOKUP(E45,'Pre-Assessment Estimator'!$E$11:$Z$228,'Pre-Assessment Estimator'!$N$2,FALSE)))</f>
        <v>0</v>
      </c>
      <c r="AK45" s="1067">
        <f>IF($AK$234=AD_no,0,IF(VLOOKUP(E45,'Pre-Assessment Estimator'!$E$11:$Z$228,'Pre-Assessment Estimator'!$U$2,FALSE)&gt;AB45,AB45,VLOOKUP(E45,'Pre-Assessment Estimator'!$E$11:$Z$228,'Pre-Assessment Estimator'!$U$2,FALSE)))</f>
        <v>0</v>
      </c>
      <c r="AM45" s="835"/>
      <c r="AN45" s="836"/>
      <c r="AO45" s="836"/>
      <c r="AP45" s="836"/>
      <c r="AQ45" s="837"/>
      <c r="AS45" s="835"/>
      <c r="AT45" s="836"/>
      <c r="AU45" s="836"/>
      <c r="AV45" s="836"/>
      <c r="AW45" s="837"/>
      <c r="AY45" s="708"/>
      <c r="AZ45" s="709"/>
      <c r="BA45" s="709"/>
      <c r="BB45" s="709"/>
      <c r="BC45" s="838"/>
      <c r="BD45" s="687">
        <f t="shared" si="84"/>
        <v>9</v>
      </c>
      <c r="BE45" s="164" t="str">
        <f t="shared" si="71"/>
        <v>N/A</v>
      </c>
      <c r="BF45" s="185"/>
      <c r="BG45" s="182">
        <f t="shared" si="85"/>
        <v>9</v>
      </c>
      <c r="BH45" s="164" t="str">
        <f t="shared" si="73"/>
        <v>N/A</v>
      </c>
      <c r="BI45" s="185"/>
      <c r="BJ45" s="182">
        <f t="shared" si="86"/>
        <v>9</v>
      </c>
      <c r="BK45" s="164" t="str">
        <f t="shared" si="74"/>
        <v>N/A</v>
      </c>
      <c r="BL45" s="830"/>
      <c r="BO45" s="167"/>
      <c r="BP45" s="167"/>
      <c r="BQ45" s="167" t="str">
        <f t="shared" si="15"/>
        <v/>
      </c>
      <c r="BR45" s="167">
        <f t="shared" si="55"/>
        <v>9</v>
      </c>
      <c r="BS45" s="167">
        <f t="shared" si="56"/>
        <v>9</v>
      </c>
      <c r="BT45" s="167">
        <f t="shared" si="57"/>
        <v>9</v>
      </c>
      <c r="BW45" s="674"/>
      <c r="BX45" s="164"/>
      <c r="BY45" s="674"/>
      <c r="BZ45" s="164"/>
      <c r="CA45" s="672"/>
      <c r="CB45" s="164"/>
      <c r="CD45" s="681"/>
      <c r="CE45" s="167"/>
      <c r="CG45" s="681"/>
    </row>
    <row r="46" spans="1:87" x14ac:dyDescent="0.25">
      <c r="A46" s="96">
        <v>38</v>
      </c>
      <c r="B46" s="137" t="str">
        <f>D46</f>
        <v>Hea 02</v>
      </c>
      <c r="C46" s="137" t="str">
        <f>B46</f>
        <v>Hea 02</v>
      </c>
      <c r="D46" s="834" t="s">
        <v>117</v>
      </c>
      <c r="E46" s="832" t="s">
        <v>111</v>
      </c>
      <c r="F46" s="933">
        <f t="shared" ref="F46:R46" si="90">SUM(F47:F50)</f>
        <v>4</v>
      </c>
      <c r="G46" s="933">
        <f t="shared" si="90"/>
        <v>4</v>
      </c>
      <c r="H46" s="933">
        <f t="shared" si="90"/>
        <v>4</v>
      </c>
      <c r="I46" s="933">
        <f t="shared" si="90"/>
        <v>4</v>
      </c>
      <c r="J46" s="933">
        <f t="shared" si="90"/>
        <v>4</v>
      </c>
      <c r="K46" s="933">
        <f t="shared" si="90"/>
        <v>4</v>
      </c>
      <c r="L46" s="933">
        <f t="shared" si="90"/>
        <v>4</v>
      </c>
      <c r="M46" s="933">
        <f t="shared" si="90"/>
        <v>4</v>
      </c>
      <c r="N46" s="933">
        <f t="shared" si="90"/>
        <v>4</v>
      </c>
      <c r="O46" s="933">
        <f t="shared" si="90"/>
        <v>4</v>
      </c>
      <c r="P46" s="933">
        <f t="shared" si="90"/>
        <v>4</v>
      </c>
      <c r="Q46" s="933">
        <f t="shared" ref="Q46" si="91">SUM(Q47:Q50)</f>
        <v>4</v>
      </c>
      <c r="R46" s="933">
        <f t="shared" si="90"/>
        <v>4</v>
      </c>
      <c r="T46" s="961">
        <f t="shared" si="66"/>
        <v>4</v>
      </c>
      <c r="U46" s="222">
        <f>U48+U49+U50</f>
        <v>0</v>
      </c>
      <c r="V46" s="230"/>
      <c r="W46" s="230"/>
      <c r="X46" s="1098">
        <f>'Manuell filtrering og justering'!E18</f>
        <v>0</v>
      </c>
      <c r="Y46" s="963"/>
      <c r="Z46" s="1177">
        <f t="shared" ref="Z46" si="92">SUM(Z47:Z50)</f>
        <v>4</v>
      </c>
      <c r="AA46" s="963">
        <f t="shared" si="68"/>
        <v>0</v>
      </c>
      <c r="AB46" s="1066">
        <f>SUM(AB47:AB50)</f>
        <v>4</v>
      </c>
      <c r="AD46" s="171">
        <f t="shared" si="69"/>
        <v>3.3684210526315789E-2</v>
      </c>
      <c r="AE46" s="921">
        <f>SUM(AE47:AE50)</f>
        <v>0</v>
      </c>
      <c r="AF46" s="921">
        <f t="shared" ref="AF46:AG46" si="93">SUM(AF47:AF50)</f>
        <v>0</v>
      </c>
      <c r="AG46" s="921">
        <f t="shared" si="93"/>
        <v>0</v>
      </c>
      <c r="AI46" s="958">
        <f t="shared" ref="AI46:AK46" si="94">SUM(AI47:AI50)</f>
        <v>0</v>
      </c>
      <c r="AJ46" s="958">
        <f t="shared" si="94"/>
        <v>0</v>
      </c>
      <c r="AK46" s="958">
        <f t="shared" si="94"/>
        <v>0</v>
      </c>
      <c r="AL46" s="96" t="s">
        <v>425</v>
      </c>
      <c r="AM46" s="291"/>
      <c r="AN46" s="181"/>
      <c r="AO46" s="304"/>
      <c r="AP46" s="293"/>
      <c r="AQ46" s="294"/>
      <c r="AS46" s="292"/>
      <c r="AT46" s="293"/>
      <c r="AU46" s="293"/>
      <c r="AV46" s="293"/>
      <c r="AW46" s="294"/>
      <c r="AY46" s="182"/>
      <c r="AZ46" s="183"/>
      <c r="BA46" s="183"/>
      <c r="BB46" s="183"/>
      <c r="BC46" s="176"/>
      <c r="BD46" s="687">
        <f>IF(BC46=0,9,IF((AI46-CG46)&gt;=BC46,5,IF((AI46-CG46)&gt;=BB46,4,IF((AI46-CG46)&gt;=BA46,3,IF((AI46-CG46)&gt;=AZ46,2,IF((AI46-CG46)&lt;AY46,0,1))))))</f>
        <v>9</v>
      </c>
      <c r="BE46" s="164" t="str">
        <f t="shared" si="71"/>
        <v>N/A</v>
      </c>
      <c r="BF46" s="185"/>
      <c r="BG46" s="182">
        <f>IF(BC46=0,9,IF((AJ46-CG46)&gt;=BC46,5,IF((AJ46-CG46)&gt;=BB46,4,IF((AJ46-CG46)&gt;=BA46,3,IF((AJ46-CG46)&gt;=AZ46,2,IF((AJ46-CG46)&lt;AY46,0,1))))))</f>
        <v>9</v>
      </c>
      <c r="BH46" s="164" t="str">
        <f t="shared" si="73"/>
        <v>N/A</v>
      </c>
      <c r="BI46" s="185"/>
      <c r="BJ46" s="182">
        <f>IF(BC46=0,9,IF((AK46-CG46)&gt;=BC46,5,IF((AK46-CG46)&gt;=BB46,4,IF((AK46-CG46)&gt;=BA46,3,IF((AK46-CG46)&gt;=AZ46,2,IF((AK46-CG46)&lt;AY46,0,1))))))</f>
        <v>9</v>
      </c>
      <c r="BK46" s="164" t="str">
        <f t="shared" si="74"/>
        <v>N/A</v>
      </c>
      <c r="BL46" s="185"/>
      <c r="BM46" s="96" t="s">
        <v>458</v>
      </c>
      <c r="BO46" s="167"/>
      <c r="BP46" s="167"/>
      <c r="BQ46" s="167" t="str">
        <f t="shared" si="15"/>
        <v/>
      </c>
      <c r="BR46" s="167">
        <f t="shared" si="55"/>
        <v>9</v>
      </c>
      <c r="BS46" s="167">
        <f t="shared" si="56"/>
        <v>9</v>
      </c>
      <c r="BT46" s="167">
        <f t="shared" si="57"/>
        <v>9</v>
      </c>
      <c r="BW46" s="167" t="str">
        <f>D46</f>
        <v>Hea 02</v>
      </c>
      <c r="BX46" s="167" t="str">
        <f>IFERROR(VLOOKUP($E46,'Pre-Assessment Estimator'!$E$11:$AB$228,'Pre-Assessment Estimator'!AB$2,FALSE),"")</f>
        <v>O2: VOC (AC 8-9: -1,0 c)</v>
      </c>
      <c r="BY46" s="230" t="str">
        <f>IFERROR(VLOOKUP($E46,'Pre-Assessment Estimator'!$E$11:$AI$228,'Pre-Assessment Estimator'!AI$2,FALSE),"")</f>
        <v>Ja</v>
      </c>
      <c r="BZ46" s="167">
        <f>IFERROR(VLOOKUP($BX46,$E$294:$H$327,F$292,FALSE),"")</f>
        <v>-1</v>
      </c>
      <c r="CA46" s="672" t="s">
        <v>428</v>
      </c>
      <c r="CB46" s="167">
        <f>H304</f>
        <v>5</v>
      </c>
      <c r="CC46" s="96" t="s">
        <v>429</v>
      </c>
      <c r="CD46" s="96" t="s">
        <v>436</v>
      </c>
      <c r="CE46" s="167">
        <f t="shared" si="75"/>
        <v>0</v>
      </c>
      <c r="CG46" s="681">
        <f>IF($BX$5=ais_nei,CE46,IF(AND(CA46=$CA$4,BX46=$CC$4),0,BZ46))</f>
        <v>0</v>
      </c>
      <c r="CI46" s="96" t="s">
        <v>403</v>
      </c>
    </row>
    <row r="47" spans="1:87" x14ac:dyDescent="0.25">
      <c r="A47" s="96">
        <v>39</v>
      </c>
      <c r="C47" s="96" t="str">
        <f t="shared" si="19"/>
        <v>Hea 02</v>
      </c>
      <c r="D47" s="163" t="s">
        <v>692</v>
      </c>
      <c r="E47" s="940" t="s">
        <v>1093</v>
      </c>
      <c r="F47" s="767"/>
      <c r="G47" s="767"/>
      <c r="H47" s="767"/>
      <c r="I47" s="767"/>
      <c r="J47" s="767"/>
      <c r="K47" s="767"/>
      <c r="L47" s="767"/>
      <c r="M47" s="767"/>
      <c r="N47" s="767"/>
      <c r="O47" s="767"/>
      <c r="P47" s="767"/>
      <c r="Q47" s="767"/>
      <c r="R47" s="767"/>
      <c r="T47" s="212">
        <f t="shared" si="66"/>
        <v>0</v>
      </c>
      <c r="U47" s="166"/>
      <c r="V47" s="167"/>
      <c r="W47" s="167"/>
      <c r="X47" s="168"/>
      <c r="Y47" s="169"/>
      <c r="Z47" s="1158"/>
      <c r="AA47" s="169">
        <f t="shared" si="68"/>
        <v>0</v>
      </c>
      <c r="AB47" s="170">
        <f>IF($AC$5='Manuell filtrering og justering'!$J$2,Z47,(T47-AA47))</f>
        <v>0</v>
      </c>
      <c r="AD47" s="171">
        <f t="shared" si="69"/>
        <v>0</v>
      </c>
      <c r="AE47" s="171">
        <f t="shared" si="87"/>
        <v>0</v>
      </c>
      <c r="AF47" s="171">
        <f t="shared" si="88"/>
        <v>0</v>
      </c>
      <c r="AG47" s="171">
        <f t="shared" si="89"/>
        <v>0</v>
      </c>
      <c r="AI47" s="172">
        <f>IF(VLOOKUP(E47,'Pre-Assessment Estimator'!$E$11:$Z$228,'Pre-Assessment Estimator'!$G$2,FALSE)&gt;AB47,AB47,VLOOKUP(E47,'Pre-Assessment Estimator'!$E$11:$Z$228,'Pre-Assessment Estimator'!$G$2,FALSE))</f>
        <v>0</v>
      </c>
      <c r="AJ47" s="172">
        <f>IF(VLOOKUP(E47,'Pre-Assessment Estimator'!$E$11:$Z$228,'Pre-Assessment Estimator'!$N$2,FALSE)&gt;AB47,AB47,VLOOKUP(E47,'Pre-Assessment Estimator'!$E$11:$Z$228,'Pre-Assessment Estimator'!$N$2,FALSE))</f>
        <v>0</v>
      </c>
      <c r="AK47" s="172">
        <f>IF(VLOOKUP(E47,'Pre-Assessment Estimator'!$E$11:$Z$228,'Pre-Assessment Estimator'!$U$2,FALSE)&gt;AB47,AB47,VLOOKUP(E47,'Pre-Assessment Estimator'!$E$11:$Z$228,'Pre-Assessment Estimator'!$U$2,FALSE))</f>
        <v>0</v>
      </c>
      <c r="AM47" s="291"/>
      <c r="AN47" s="181"/>
      <c r="AO47" s="304"/>
      <c r="AP47" s="293"/>
      <c r="AQ47" s="294"/>
      <c r="AS47" s="292"/>
      <c r="AT47" s="293"/>
      <c r="AU47" s="293"/>
      <c r="AV47" s="293"/>
      <c r="AW47" s="294"/>
      <c r="AY47" s="182"/>
      <c r="AZ47" s="183"/>
      <c r="BA47" s="183"/>
      <c r="BB47" s="183"/>
      <c r="BC47" s="176"/>
      <c r="BD47" s="687">
        <f t="shared" ref="BD47:BD64" si="95">IF(BC47=0,9,IF((AI47-CG47)&gt;=BC47,5,IF((AI47-CG47)&gt;=BB47,4,IF((AI47-CG47)&gt;=BA47,3,IF((AI47-CG47)&gt;=AZ47,2,IF((AI47-CG47)&lt;AY47,0,1))))))</f>
        <v>9</v>
      </c>
      <c r="BE47" s="164" t="str">
        <f t="shared" si="71"/>
        <v>N/A</v>
      </c>
      <c r="BF47" s="185"/>
      <c r="BG47" s="182">
        <f t="shared" ref="BG47:BG64" si="96">IF(BC47=0,9,IF((AJ47-CG47)&gt;=BC47,5,IF((AJ47-CG47)&gt;=BB47,4,IF((AJ47-CG47)&gt;=BA47,3,IF((AJ47-CG47)&gt;=AZ47,2,IF((AJ47-CG47)&lt;AY47,0,1))))))</f>
        <v>9</v>
      </c>
      <c r="BH47" s="164" t="str">
        <f t="shared" si="73"/>
        <v>N/A</v>
      </c>
      <c r="BI47" s="185"/>
      <c r="BJ47" s="182">
        <f t="shared" ref="BJ47:BJ64" si="97">IF(BC47=0,9,IF((AK47-CG47)&gt;=BC47,5,IF((AK47-CG47)&gt;=BB47,4,IF((AK47-CG47)&gt;=BA47,3,IF((AK47-CG47)&gt;=AZ47,2,IF((AK47-CG47)&lt;AY47,0,1))))))</f>
        <v>9</v>
      </c>
      <c r="BK47" s="164" t="str">
        <f t="shared" si="74"/>
        <v>N/A</v>
      </c>
      <c r="BL47" s="185"/>
      <c r="BO47" s="167"/>
      <c r="BP47" s="167"/>
      <c r="BQ47" s="167" t="str">
        <f t="shared" si="15"/>
        <v/>
      </c>
      <c r="BR47" s="167">
        <f t="shared" si="55"/>
        <v>9</v>
      </c>
      <c r="BS47" s="167">
        <f t="shared" si="56"/>
        <v>9</v>
      </c>
      <c r="BT47" s="167">
        <f t="shared" si="57"/>
        <v>9</v>
      </c>
      <c r="BW47" s="167"/>
      <c r="BX47" s="167"/>
      <c r="BY47" s="230"/>
      <c r="BZ47" s="167"/>
      <c r="CA47" s="839"/>
      <c r="CB47" s="167"/>
      <c r="CE47" s="167"/>
      <c r="CG47" s="681"/>
    </row>
    <row r="48" spans="1:87" x14ac:dyDescent="0.25">
      <c r="A48" s="96">
        <v>40</v>
      </c>
      <c r="B48" s="96" t="str">
        <f t="shared" ref="B48:B50" si="98">$D$46&amp;D48</f>
        <v>Hea 02b</v>
      </c>
      <c r="C48" s="96" t="str">
        <f t="shared" si="19"/>
        <v>Hea 02</v>
      </c>
      <c r="D48" s="163" t="s">
        <v>695</v>
      </c>
      <c r="E48" s="1107" t="s">
        <v>608</v>
      </c>
      <c r="F48" s="775">
        <v>1</v>
      </c>
      <c r="G48" s="775">
        <v>1</v>
      </c>
      <c r="H48" s="775">
        <v>1</v>
      </c>
      <c r="I48" s="775">
        <v>1</v>
      </c>
      <c r="J48" s="775">
        <v>1</v>
      </c>
      <c r="K48" s="775">
        <v>1</v>
      </c>
      <c r="L48" s="775">
        <v>1</v>
      </c>
      <c r="M48" s="775">
        <v>1</v>
      </c>
      <c r="N48" s="775">
        <v>1</v>
      </c>
      <c r="O48" s="775">
        <v>1</v>
      </c>
      <c r="P48" s="775">
        <v>1</v>
      </c>
      <c r="Q48" s="775">
        <v>1</v>
      </c>
      <c r="R48" s="775">
        <v>1</v>
      </c>
      <c r="T48" s="212">
        <f t="shared" si="66"/>
        <v>1</v>
      </c>
      <c r="U48" s="222">
        <f>IF(AND(ADBT0=ADBT1,ADIND_option03=AD_no),Poeng!T48,0)</f>
        <v>0</v>
      </c>
      <c r="V48" s="167"/>
      <c r="W48" s="167"/>
      <c r="X48" s="168"/>
      <c r="Y48" s="169"/>
      <c r="Z48" s="1158">
        <f>VLOOKUP(B48,'Manuell filtrering og justering'!$A$7:$H$107,'Manuell filtrering og justering'!$H$1,FALSE)</f>
        <v>1</v>
      </c>
      <c r="AA48" s="169">
        <f t="shared" si="68"/>
        <v>0</v>
      </c>
      <c r="AB48" s="170">
        <f>IF($AC$5='Manuell filtrering og justering'!$J$2,Z48,(T48-AA48))</f>
        <v>1</v>
      </c>
      <c r="AD48" s="171">
        <f t="shared" si="69"/>
        <v>8.4210526315789472E-3</v>
      </c>
      <c r="AE48" s="171">
        <f t="shared" si="87"/>
        <v>0</v>
      </c>
      <c r="AF48" s="171">
        <f t="shared" si="88"/>
        <v>0</v>
      </c>
      <c r="AG48" s="171">
        <f t="shared" si="89"/>
        <v>0</v>
      </c>
      <c r="AI48" s="1067">
        <f>IF(OR(AI236=AD_no,AI236=0,AI282=0),0,IF(VLOOKUP(E48,'Pre-Assessment Estimator'!$E$11:$Z$228,'Pre-Assessment Estimator'!$G$2,FALSE)&gt;AB48,AB48,VLOOKUP(E48,'Pre-Assessment Estimator'!$E$11:$Z$228,'Pre-Assessment Estimator'!$G$2,FALSE)))</f>
        <v>0</v>
      </c>
      <c r="AJ48" s="1067">
        <f>IF(OR(AJ236=AD_no,AJ236=0,AJ282=0),0,IF(VLOOKUP(E48,'Pre-Assessment Estimator'!$E$11:$Z$228,'Pre-Assessment Estimator'!$N$2,FALSE)&gt;AB48,AB48,VLOOKUP(E48,'Pre-Assessment Estimator'!$E$11:$Z$228,'Pre-Assessment Estimator'!$N$2,FALSE)))</f>
        <v>0</v>
      </c>
      <c r="AK48" s="1067">
        <f>IF(OR(AK236=AD_no,AK236=0,AK282=0),0,IF(VLOOKUP(E48,'Pre-Assessment Estimator'!$E$11:$Z$228,'Pre-Assessment Estimator'!$U$2,FALSE)&gt;AB48,AB48,VLOOKUP(E48,'Pre-Assessment Estimator'!$E$11:$Z$228,'Pre-Assessment Estimator'!$U$2,FALSE)))</f>
        <v>0</v>
      </c>
      <c r="AM48" s="291"/>
      <c r="AN48" s="181"/>
      <c r="AO48" s="304"/>
      <c r="AP48" s="293"/>
      <c r="AQ48" s="294"/>
      <c r="AS48" s="292"/>
      <c r="AT48" s="293"/>
      <c r="AU48" s="293"/>
      <c r="AV48" s="293"/>
      <c r="AW48" s="294"/>
      <c r="AY48" s="182"/>
      <c r="AZ48" s="183"/>
      <c r="BA48" s="183"/>
      <c r="BB48" s="183"/>
      <c r="BC48" s="176"/>
      <c r="BD48" s="687">
        <f t="shared" si="95"/>
        <v>9</v>
      </c>
      <c r="BE48" s="164" t="str">
        <f t="shared" si="71"/>
        <v>N/A</v>
      </c>
      <c r="BF48" s="185"/>
      <c r="BG48" s="182">
        <f t="shared" si="96"/>
        <v>9</v>
      </c>
      <c r="BH48" s="164" t="str">
        <f t="shared" si="73"/>
        <v>N/A</v>
      </c>
      <c r="BI48" s="185"/>
      <c r="BJ48" s="182">
        <f t="shared" si="97"/>
        <v>9</v>
      </c>
      <c r="BK48" s="164" t="str">
        <f t="shared" si="74"/>
        <v>N/A</v>
      </c>
      <c r="BL48" s="185"/>
      <c r="BO48" s="167"/>
      <c r="BP48" s="167"/>
      <c r="BQ48" s="167" t="str">
        <f t="shared" si="15"/>
        <v/>
      </c>
      <c r="BR48" s="167">
        <f t="shared" si="55"/>
        <v>9</v>
      </c>
      <c r="BS48" s="167">
        <f t="shared" si="56"/>
        <v>9</v>
      </c>
      <c r="BT48" s="167">
        <f t="shared" si="57"/>
        <v>9</v>
      </c>
      <c r="BW48" s="167"/>
      <c r="BX48" s="167"/>
      <c r="BY48" s="230"/>
      <c r="BZ48" s="167"/>
      <c r="CA48" s="839"/>
      <c r="CB48" s="167"/>
      <c r="CE48" s="167"/>
      <c r="CG48" s="681"/>
    </row>
    <row r="49" spans="1:85" x14ac:dyDescent="0.25">
      <c r="A49" s="96">
        <v>41</v>
      </c>
      <c r="B49" s="96" t="str">
        <f t="shared" si="98"/>
        <v>Hea 02c</v>
      </c>
      <c r="C49" s="96" t="str">
        <f t="shared" si="19"/>
        <v>Hea 02</v>
      </c>
      <c r="D49" s="166" t="s">
        <v>696</v>
      </c>
      <c r="E49" s="1248" t="s">
        <v>1056</v>
      </c>
      <c r="F49" s="775">
        <v>2</v>
      </c>
      <c r="G49" s="775">
        <v>2</v>
      </c>
      <c r="H49" s="775">
        <v>2</v>
      </c>
      <c r="I49" s="775">
        <v>2</v>
      </c>
      <c r="J49" s="775">
        <v>2</v>
      </c>
      <c r="K49" s="775">
        <v>2</v>
      </c>
      <c r="L49" s="775">
        <v>2</v>
      </c>
      <c r="M49" s="775">
        <v>2</v>
      </c>
      <c r="N49" s="775">
        <v>2</v>
      </c>
      <c r="O49" s="775">
        <v>2</v>
      </c>
      <c r="P49" s="775">
        <v>2</v>
      </c>
      <c r="Q49" s="775">
        <v>2</v>
      </c>
      <c r="R49" s="775">
        <v>2</v>
      </c>
      <c r="T49" s="212">
        <f t="shared" si="66"/>
        <v>2</v>
      </c>
      <c r="U49" s="222">
        <f>IF(AND(ADBT0=ADBT1,ADIND_option03=AD_no),Poeng!T49,0)</f>
        <v>0</v>
      </c>
      <c r="V49" s="167"/>
      <c r="W49" s="167"/>
      <c r="X49" s="168"/>
      <c r="Y49" s="169">
        <f>IF($Y$4=$Y$6,1,0)</f>
        <v>0</v>
      </c>
      <c r="Z49" s="1158">
        <f>VLOOKUP(B49,'Manuell filtrering og justering'!$A$7:$H$107,'Manuell filtrering og justering'!$H$1,FALSE)</f>
        <v>2</v>
      </c>
      <c r="AA49" s="169">
        <f t="shared" si="68"/>
        <v>0</v>
      </c>
      <c r="AB49" s="170">
        <f>IF($AC$5='Manuell filtrering og justering'!$J$2,Z49,(T49-AA49))</f>
        <v>2</v>
      </c>
      <c r="AD49" s="171">
        <f t="shared" si="69"/>
        <v>1.6842105263157894E-2</v>
      </c>
      <c r="AE49" s="171">
        <f t="shared" si="87"/>
        <v>0</v>
      </c>
      <c r="AF49" s="171">
        <f t="shared" si="88"/>
        <v>0</v>
      </c>
      <c r="AG49" s="171">
        <f t="shared" si="89"/>
        <v>0</v>
      </c>
      <c r="AI49" s="1067">
        <f>IF(OR(AI236=AD_no,AI236=0,AI282=0),0,IF(VLOOKUP(E49,'Pre-Assessment Estimator'!$E$11:$Z$228,'Pre-Assessment Estimator'!$G$2,FALSE)&gt;AB49,AB49,VLOOKUP(E49,'Pre-Assessment Estimator'!$E$11:$Z$228,'Pre-Assessment Estimator'!$G$2,FALSE)))</f>
        <v>0</v>
      </c>
      <c r="AJ49" s="1067">
        <f>IF(OR(AJ236=AD_no,AJ236=0,AJ282=0),0,IF(VLOOKUP(E49,'Pre-Assessment Estimator'!$E$11:$Z$228,'Pre-Assessment Estimator'!$N$2,FALSE)&gt;AB49,AB49,VLOOKUP(E49,'Pre-Assessment Estimator'!$E$11:$Z$228,'Pre-Assessment Estimator'!$N$2,FALSE)))</f>
        <v>0</v>
      </c>
      <c r="AK49" s="1067">
        <f>IF(OR(AK236=AD_no,AK236=0,AK282=0),0,IF(VLOOKUP(E49,'Pre-Assessment Estimator'!$E$11:$Z$228,'Pre-Assessment Estimator'!$U$2,FALSE)&gt;AB49,AB49,VLOOKUP(E49,'Pre-Assessment Estimator'!$E$11:$Z$228,'Pre-Assessment Estimator'!$U$2,FALSE)))</f>
        <v>0</v>
      </c>
      <c r="AM49" s="291"/>
      <c r="AN49" s="181"/>
      <c r="AO49" s="1189">
        <f>IF(AND(Y4=Y3,AB49=0),0,IF(AND($Y$4&lt;&gt;$Y$3,Y49&gt;0),0,1))</f>
        <v>1</v>
      </c>
      <c r="AP49" s="1189">
        <f>IF(AND(Y4=Y3,AB49=0),0,IF(AND($Y$4&lt;&gt;$Y$3,Y49&gt;0),0,2))</f>
        <v>2</v>
      </c>
      <c r="AQ49" s="1191">
        <f>IF(AND(Y4=Y3,AB49=0),0,IF(AND($Y$4&lt;&gt;$Y$3,Y49&gt;0),0,2))</f>
        <v>2</v>
      </c>
      <c r="AR49" s="137"/>
      <c r="AS49" s="976"/>
      <c r="AT49" s="974"/>
      <c r="AU49" s="974">
        <v>1</v>
      </c>
      <c r="AV49" s="974">
        <v>2</v>
      </c>
      <c r="AW49" s="975">
        <v>2</v>
      </c>
      <c r="AY49" s="182"/>
      <c r="AZ49" s="183"/>
      <c r="BA49" s="183">
        <f>IF($E$6=$H$9,AU49,AO49)</f>
        <v>1</v>
      </c>
      <c r="BB49" s="183">
        <f>IF($E$6=$H$9,AV49,AP49)</f>
        <v>2</v>
      </c>
      <c r="BC49" s="176">
        <f>IF($E$6=$H$9,AW49,AQ49)</f>
        <v>2</v>
      </c>
      <c r="BD49" s="687">
        <f t="shared" si="95"/>
        <v>2</v>
      </c>
      <c r="BE49" s="164" t="str">
        <f t="shared" si="71"/>
        <v>Good</v>
      </c>
      <c r="BF49" s="185"/>
      <c r="BG49" s="182">
        <f t="shared" si="96"/>
        <v>2</v>
      </c>
      <c r="BH49" s="164" t="str">
        <f t="shared" si="73"/>
        <v>Good</v>
      </c>
      <c r="BI49" s="185"/>
      <c r="BJ49" s="182">
        <f t="shared" si="97"/>
        <v>2</v>
      </c>
      <c r="BK49" s="164" t="str">
        <f t="shared" si="74"/>
        <v>Good</v>
      </c>
      <c r="BL49" s="185"/>
      <c r="BO49" s="167"/>
      <c r="BP49" s="167">
        <v>2</v>
      </c>
      <c r="BQ49" s="167">
        <f t="shared" si="15"/>
        <v>2</v>
      </c>
      <c r="BR49" s="1181">
        <f>IF(AB49=0,9,IF(BQ49="",9,(IF(AI49&gt;=BQ49,5,0))))</f>
        <v>0</v>
      </c>
      <c r="BS49" s="1181">
        <f>IF(AB49=0,9,IF(BQ49="",9,(IF(AJ49&gt;=BQ49,5,0))))</f>
        <v>0</v>
      </c>
      <c r="BT49" s="1181">
        <f>IF(AB49=0,9,IF(BQ49="",9,(IF(AK49&gt;=BQ49,5,0))))</f>
        <v>0</v>
      </c>
      <c r="BW49" s="167"/>
      <c r="BX49" s="167"/>
      <c r="BY49" s="230"/>
      <c r="BZ49" s="167"/>
      <c r="CA49" s="839"/>
      <c r="CB49" s="167"/>
      <c r="CE49" s="167"/>
      <c r="CG49" s="681"/>
    </row>
    <row r="50" spans="1:85" x14ac:dyDescent="0.25">
      <c r="A50" s="96">
        <v>42</v>
      </c>
      <c r="B50" s="96" t="str">
        <f t="shared" si="98"/>
        <v>Hea 02d</v>
      </c>
      <c r="C50" s="96" t="str">
        <f t="shared" si="19"/>
        <v>Hea 02</v>
      </c>
      <c r="D50" s="166" t="s">
        <v>694</v>
      </c>
      <c r="E50" s="1107" t="s">
        <v>610</v>
      </c>
      <c r="F50" s="775">
        <v>1</v>
      </c>
      <c r="G50" s="775">
        <v>1</v>
      </c>
      <c r="H50" s="775">
        <v>1</v>
      </c>
      <c r="I50" s="775">
        <v>1</v>
      </c>
      <c r="J50" s="775">
        <v>1</v>
      </c>
      <c r="K50" s="775">
        <v>1</v>
      </c>
      <c r="L50" s="775">
        <v>1</v>
      </c>
      <c r="M50" s="775">
        <v>1</v>
      </c>
      <c r="N50" s="775">
        <v>1</v>
      </c>
      <c r="O50" s="775">
        <v>1</v>
      </c>
      <c r="P50" s="775">
        <v>1</v>
      </c>
      <c r="Q50" s="775">
        <v>1</v>
      </c>
      <c r="R50" s="775">
        <v>1</v>
      </c>
      <c r="T50" s="212">
        <f t="shared" si="66"/>
        <v>1</v>
      </c>
      <c r="U50" s="222">
        <f>IF(AND(ADBT0=ADBT1,ADIND_option03=AD_no),Poeng!T50,0)</f>
        <v>0</v>
      </c>
      <c r="V50" s="167"/>
      <c r="W50" s="167"/>
      <c r="X50" s="168"/>
      <c r="Y50" s="169">
        <f>IF(OR($Y$4=$Y$5,$Y$4=$Y$6),T50,0)</f>
        <v>0</v>
      </c>
      <c r="Z50" s="1158">
        <f>VLOOKUP(B50,'Manuell filtrering og justering'!$A$7:$H$107,'Manuell filtrering og justering'!$H$1,FALSE)</f>
        <v>1</v>
      </c>
      <c r="AA50" s="169">
        <f t="shared" si="68"/>
        <v>0</v>
      </c>
      <c r="AB50" s="170">
        <f>IF($AC$5='Manuell filtrering og justering'!$J$2,Z50,(T50-AA50))</f>
        <v>1</v>
      </c>
      <c r="AD50" s="171">
        <f t="shared" si="69"/>
        <v>8.4210526315789472E-3</v>
      </c>
      <c r="AE50" s="171">
        <f t="shared" si="87"/>
        <v>0</v>
      </c>
      <c r="AF50" s="171">
        <f t="shared" si="88"/>
        <v>0</v>
      </c>
      <c r="AG50" s="171">
        <f t="shared" si="89"/>
        <v>0</v>
      </c>
      <c r="AI50" s="1067">
        <f>IF(OR(AI236=AD_no,AI236=0,AI282=0),0,IF(VLOOKUP(E50,'Pre-Assessment Estimator'!$E$11:$Z$228,'Pre-Assessment Estimator'!$G$2,FALSE)&gt;AB50,AB50,VLOOKUP(E50,'Pre-Assessment Estimator'!$E$11:$Z$228,'Pre-Assessment Estimator'!$G$2,FALSE)))</f>
        <v>0</v>
      </c>
      <c r="AJ50" s="1067">
        <f>IF(OR(AJ236=AD_no,AJ236=0,AJ282=0),0,IF(VLOOKUP(E50,'Pre-Assessment Estimator'!$E$11:$Z$228,'Pre-Assessment Estimator'!$N$2,FALSE)&gt;AB50,AB50,VLOOKUP(E50,'Pre-Assessment Estimator'!$E$11:$Z$228,'Pre-Assessment Estimator'!$N$2,FALSE)))</f>
        <v>0</v>
      </c>
      <c r="AK50" s="1067">
        <f>IF(OR(AK236=AD_no,AK236=0,AK282=0),0,IF(VLOOKUP(E50,'Pre-Assessment Estimator'!$E$11:$Z$228,'Pre-Assessment Estimator'!$U$2,FALSE)&gt;AB50,AB50,VLOOKUP(E50,'Pre-Assessment Estimator'!$E$11:$Z$228,'Pre-Assessment Estimator'!$U$2,FALSE)))</f>
        <v>0</v>
      </c>
      <c r="AM50" s="291"/>
      <c r="AN50" s="181"/>
      <c r="AO50" s="304"/>
      <c r="AP50" s="293"/>
      <c r="AQ50" s="294"/>
      <c r="AS50" s="292"/>
      <c r="AT50" s="293"/>
      <c r="AU50" s="293"/>
      <c r="AV50" s="293"/>
      <c r="AW50" s="294"/>
      <c r="AY50" s="182"/>
      <c r="AZ50" s="183"/>
      <c r="BA50" s="183"/>
      <c r="BB50" s="183"/>
      <c r="BC50" s="176"/>
      <c r="BD50" s="687">
        <f t="shared" si="95"/>
        <v>9</v>
      </c>
      <c r="BE50" s="164" t="str">
        <f t="shared" si="71"/>
        <v>N/A</v>
      </c>
      <c r="BF50" s="185"/>
      <c r="BG50" s="182">
        <f t="shared" si="96"/>
        <v>9</v>
      </c>
      <c r="BH50" s="164" t="str">
        <f t="shared" si="73"/>
        <v>N/A</v>
      </c>
      <c r="BI50" s="185"/>
      <c r="BJ50" s="182">
        <f t="shared" si="97"/>
        <v>9</v>
      </c>
      <c r="BK50" s="164" t="str">
        <f t="shared" si="74"/>
        <v>N/A</v>
      </c>
      <c r="BL50" s="185"/>
      <c r="BO50" s="167"/>
      <c r="BP50" s="167"/>
      <c r="BQ50" s="167" t="str">
        <f t="shared" si="15"/>
        <v/>
      </c>
      <c r="BR50" s="167">
        <f t="shared" si="55"/>
        <v>9</v>
      </c>
      <c r="BS50" s="167">
        <f t="shared" si="56"/>
        <v>9</v>
      </c>
      <c r="BT50" s="167">
        <f t="shared" si="57"/>
        <v>9</v>
      </c>
      <c r="BW50" s="167"/>
      <c r="BX50" s="167"/>
      <c r="BY50" s="230"/>
      <c r="BZ50" s="167"/>
      <c r="CA50" s="839"/>
      <c r="CB50" s="167"/>
      <c r="CE50" s="167"/>
      <c r="CG50" s="681"/>
    </row>
    <row r="51" spans="1:85" x14ac:dyDescent="0.25">
      <c r="A51" s="96">
        <v>43</v>
      </c>
      <c r="B51" s="137" t="str">
        <f>D51</f>
        <v>Hea 03</v>
      </c>
      <c r="C51" s="137" t="str">
        <f>B51</f>
        <v>Hea 03</v>
      </c>
      <c r="D51" s="834" t="s">
        <v>118</v>
      </c>
      <c r="E51" s="832" t="s">
        <v>112</v>
      </c>
      <c r="F51" s="933">
        <f t="shared" ref="F51:R51" si="99">SUM(F52:F54)</f>
        <v>3</v>
      </c>
      <c r="G51" s="933">
        <f t="shared" si="99"/>
        <v>3</v>
      </c>
      <c r="H51" s="933">
        <f t="shared" si="99"/>
        <v>3</v>
      </c>
      <c r="I51" s="933">
        <f t="shared" si="99"/>
        <v>3</v>
      </c>
      <c r="J51" s="933">
        <f t="shared" si="99"/>
        <v>3</v>
      </c>
      <c r="K51" s="933">
        <f t="shared" si="99"/>
        <v>3</v>
      </c>
      <c r="L51" s="933">
        <f t="shared" si="99"/>
        <v>3</v>
      </c>
      <c r="M51" s="933">
        <f t="shared" si="99"/>
        <v>3</v>
      </c>
      <c r="N51" s="933">
        <f t="shared" si="99"/>
        <v>3</v>
      </c>
      <c r="O51" s="933">
        <f t="shared" si="99"/>
        <v>3</v>
      </c>
      <c r="P51" s="933">
        <f t="shared" si="99"/>
        <v>3</v>
      </c>
      <c r="Q51" s="933">
        <f t="shared" ref="Q51" si="100">SUM(Q52:Q54)</f>
        <v>3</v>
      </c>
      <c r="R51" s="933">
        <f t="shared" si="99"/>
        <v>3</v>
      </c>
      <c r="T51" s="961">
        <f t="shared" si="66"/>
        <v>3</v>
      </c>
      <c r="U51" s="222">
        <f>U52+U53+U54</f>
        <v>0</v>
      </c>
      <c r="V51" s="230"/>
      <c r="W51" s="230"/>
      <c r="X51" s="1098">
        <f>'Manuell filtrering og justering'!E19</f>
        <v>0</v>
      </c>
      <c r="Y51" s="963"/>
      <c r="Z51" s="1177">
        <f t="shared" ref="Z51" si="101">SUM(Z52:Z54)</f>
        <v>3</v>
      </c>
      <c r="AA51" s="963">
        <f t="shared" si="68"/>
        <v>0</v>
      </c>
      <c r="AB51" s="1066">
        <f>SUM(AB52:AB54)</f>
        <v>3</v>
      </c>
      <c r="AD51" s="171">
        <f t="shared" si="69"/>
        <v>2.5263157894736842E-2</v>
      </c>
      <c r="AE51" s="921">
        <f>SUM(AE52:AE54)</f>
        <v>0</v>
      </c>
      <c r="AF51" s="921">
        <f t="shared" ref="AF51:AG51" si="102">SUM(AF52:AF54)</f>
        <v>0</v>
      </c>
      <c r="AG51" s="921">
        <f t="shared" si="102"/>
        <v>0</v>
      </c>
      <c r="AI51" s="958">
        <f t="shared" ref="AI51:AK51" si="103">SUM(AI52:AI54)</f>
        <v>0</v>
      </c>
      <c r="AJ51" s="958">
        <f t="shared" si="103"/>
        <v>0</v>
      </c>
      <c r="AK51" s="958">
        <f t="shared" si="103"/>
        <v>0</v>
      </c>
      <c r="AL51" s="96" t="s">
        <v>425</v>
      </c>
      <c r="AM51" s="292"/>
      <c r="AN51" s="293"/>
      <c r="AO51" s="293"/>
      <c r="AP51" s="293"/>
      <c r="AQ51" s="294"/>
      <c r="AS51" s="292"/>
      <c r="AT51" s="293"/>
      <c r="AU51" s="293"/>
      <c r="AV51" s="293"/>
      <c r="AW51" s="294"/>
      <c r="AY51" s="188"/>
      <c r="AZ51" s="189"/>
      <c r="BA51" s="189"/>
      <c r="BB51" s="189"/>
      <c r="BC51" s="190"/>
      <c r="BD51" s="687">
        <f t="shared" si="95"/>
        <v>9</v>
      </c>
      <c r="BE51" s="164" t="str">
        <f t="shared" si="71"/>
        <v>N/A</v>
      </c>
      <c r="BF51" s="185"/>
      <c r="BG51" s="182">
        <f t="shared" si="96"/>
        <v>9</v>
      </c>
      <c r="BH51" s="164" t="str">
        <f t="shared" si="73"/>
        <v>N/A</v>
      </c>
      <c r="BI51" s="185"/>
      <c r="BJ51" s="182">
        <f t="shared" si="97"/>
        <v>9</v>
      </c>
      <c r="BK51" s="164" t="str">
        <f t="shared" si="74"/>
        <v>N/A</v>
      </c>
      <c r="BL51" s="185"/>
      <c r="BO51" s="167"/>
      <c r="BP51" s="167"/>
      <c r="BQ51" s="167" t="str">
        <f t="shared" si="15"/>
        <v/>
      </c>
      <c r="BR51" s="167">
        <f t="shared" si="55"/>
        <v>9</v>
      </c>
      <c r="BS51" s="167">
        <f t="shared" si="56"/>
        <v>9</v>
      </c>
      <c r="BT51" s="167">
        <f t="shared" si="57"/>
        <v>9</v>
      </c>
      <c r="BW51" s="167" t="str">
        <f>D51</f>
        <v>Hea 03</v>
      </c>
      <c r="BX51" s="167" t="str">
        <f>IFERROR(VLOOKUP($E51,'Pre-Assessment Estimator'!$E$11:$AB$228,'Pre-Assessment Estimator'!AB$2,FALSE),"")</f>
        <v>No</v>
      </c>
      <c r="BY51" s="230" t="str">
        <f>IFERROR(VLOOKUP($E51,'Pre-Assessment Estimator'!$E$11:$AI$228,'Pre-Assessment Estimator'!AI$2,FALSE),"")</f>
        <v>Ja</v>
      </c>
      <c r="BZ51" s="167">
        <f>IFERROR(VLOOKUP($BX51,$E$294:$H$327,F$292,FALSE),"")</f>
        <v>1</v>
      </c>
      <c r="CA51" s="680" t="s">
        <v>430</v>
      </c>
      <c r="CB51" s="167"/>
      <c r="CC51" s="96" t="str">
        <f>IFERROR(VLOOKUP($BX51,$E$294:$H$327,I$292,FALSE),"")</f>
        <v/>
      </c>
      <c r="CD51" s="96" t="s">
        <v>436</v>
      </c>
      <c r="CE51" s="167">
        <f t="shared" si="75"/>
        <v>1</v>
      </c>
      <c r="CG51" s="681">
        <f>IF($BX$5=ais_nei,CE51,IF(AND(CA51=$CA$4,BX51=$CC$4),0,BZ51))</f>
        <v>1</v>
      </c>
    </row>
    <row r="52" spans="1:85" x14ac:dyDescent="0.25">
      <c r="A52" s="96">
        <v>44</v>
      </c>
      <c r="B52" s="96" t="str">
        <f t="shared" ref="B52:B54" si="104">$D$51&amp;D52</f>
        <v>Hea 03a</v>
      </c>
      <c r="C52" s="96" t="str">
        <f t="shared" si="19"/>
        <v>Hea 03</v>
      </c>
      <c r="D52" s="163" t="s">
        <v>692</v>
      </c>
      <c r="E52" s="1107" t="s">
        <v>611</v>
      </c>
      <c r="F52" s="775">
        <v>1</v>
      </c>
      <c r="G52" s="775">
        <v>1</v>
      </c>
      <c r="H52" s="775">
        <v>1</v>
      </c>
      <c r="I52" s="775">
        <v>1</v>
      </c>
      <c r="J52" s="775">
        <v>1</v>
      </c>
      <c r="K52" s="775">
        <v>1</v>
      </c>
      <c r="L52" s="775">
        <v>1</v>
      </c>
      <c r="M52" s="775">
        <v>1</v>
      </c>
      <c r="N52" s="775">
        <v>1</v>
      </c>
      <c r="O52" s="775">
        <v>1</v>
      </c>
      <c r="P52" s="775">
        <v>1</v>
      </c>
      <c r="Q52" s="775">
        <v>1</v>
      </c>
      <c r="R52" s="775">
        <v>1</v>
      </c>
      <c r="T52" s="212">
        <f t="shared" si="66"/>
        <v>1</v>
      </c>
      <c r="U52" s="222">
        <f>IF(AND(ADBT0=ADBT1,ADIND_option03=AD_no),Poeng!T52,0)</f>
        <v>0</v>
      </c>
      <c r="V52" s="167"/>
      <c r="W52" s="167"/>
      <c r="X52" s="168"/>
      <c r="Y52" s="169">
        <f>IF($Y$4=$Y$6,T52,0)</f>
        <v>0</v>
      </c>
      <c r="Z52" s="1158">
        <f>VLOOKUP(B52,'Manuell filtrering og justering'!$A$7:$H$107,'Manuell filtrering og justering'!$H$1,FALSE)</f>
        <v>1</v>
      </c>
      <c r="AA52" s="169">
        <f t="shared" si="68"/>
        <v>0</v>
      </c>
      <c r="AB52" s="170">
        <f>IF($AC$5='Manuell filtrering og justering'!$J$2,Z52,(T52-AA52))</f>
        <v>1</v>
      </c>
      <c r="AD52" s="171">
        <f t="shared" si="69"/>
        <v>8.4210526315789472E-3</v>
      </c>
      <c r="AE52" s="171">
        <f t="shared" si="87"/>
        <v>0</v>
      </c>
      <c r="AF52" s="171">
        <f t="shared" si="88"/>
        <v>0</v>
      </c>
      <c r="AG52" s="171">
        <f t="shared" si="89"/>
        <v>0</v>
      </c>
      <c r="AI52" s="172">
        <f>IF(VLOOKUP(E52,'Pre-Assessment Estimator'!$E$11:$Z$228,'Pre-Assessment Estimator'!$G$2,FALSE)&gt;AB52,AB52,VLOOKUP(E52,'Pre-Assessment Estimator'!$E$11:$Z$228,'Pre-Assessment Estimator'!$G$2,FALSE))</f>
        <v>0</v>
      </c>
      <c r="AJ52" s="172">
        <f>IF(VLOOKUP(E52,'Pre-Assessment Estimator'!$E$11:$Z$228,'Pre-Assessment Estimator'!$N$2,FALSE)&gt;AB52,AB52,VLOOKUP(E52,'Pre-Assessment Estimator'!$E$11:$Z$228,'Pre-Assessment Estimator'!$N$2,FALSE))</f>
        <v>0</v>
      </c>
      <c r="AK52" s="172">
        <f>IF(VLOOKUP(E52,'Pre-Assessment Estimator'!$E$11:$Z$228,'Pre-Assessment Estimator'!$U$2,FALSE)&gt;AB52,AB52,VLOOKUP(E52,'Pre-Assessment Estimator'!$E$11:$Z$228,'Pre-Assessment Estimator'!$U$2,FALSE))</f>
        <v>0</v>
      </c>
      <c r="AM52" s="292"/>
      <c r="AN52" s="293"/>
      <c r="AO52" s="293"/>
      <c r="AP52" s="293"/>
      <c r="AQ52" s="294"/>
      <c r="AS52" s="292"/>
      <c r="AT52" s="293"/>
      <c r="AU52" s="293"/>
      <c r="AV52" s="293"/>
      <c r="AW52" s="294"/>
      <c r="AY52" s="188"/>
      <c r="AZ52" s="189"/>
      <c r="BA52" s="189"/>
      <c r="BB52" s="189"/>
      <c r="BC52" s="190"/>
      <c r="BD52" s="687">
        <f t="shared" si="95"/>
        <v>9</v>
      </c>
      <c r="BE52" s="164" t="str">
        <f t="shared" si="71"/>
        <v>N/A</v>
      </c>
      <c r="BF52" s="185"/>
      <c r="BG52" s="182">
        <f t="shared" si="96"/>
        <v>9</v>
      </c>
      <c r="BH52" s="164" t="str">
        <f t="shared" si="73"/>
        <v>N/A</v>
      </c>
      <c r="BI52" s="185"/>
      <c r="BJ52" s="182">
        <f t="shared" si="97"/>
        <v>9</v>
      </c>
      <c r="BK52" s="164" t="str">
        <f t="shared" si="74"/>
        <v>N/A</v>
      </c>
      <c r="BL52" s="185"/>
      <c r="BO52" s="167"/>
      <c r="BP52" s="167"/>
      <c r="BQ52" s="167" t="str">
        <f t="shared" si="15"/>
        <v/>
      </c>
      <c r="BR52" s="167">
        <f t="shared" si="55"/>
        <v>9</v>
      </c>
      <c r="BS52" s="167">
        <f t="shared" si="56"/>
        <v>9</v>
      </c>
      <c r="BT52" s="167">
        <f t="shared" si="57"/>
        <v>9</v>
      </c>
      <c r="BW52" s="167"/>
      <c r="BX52" s="167"/>
      <c r="BY52" s="230"/>
      <c r="BZ52" s="167"/>
      <c r="CA52" s="680"/>
      <c r="CB52" s="167"/>
      <c r="CE52" s="167"/>
      <c r="CG52" s="681"/>
    </row>
    <row r="53" spans="1:85" x14ac:dyDescent="0.25">
      <c r="A53" s="96">
        <v>45</v>
      </c>
      <c r="B53" s="96" t="str">
        <f t="shared" si="104"/>
        <v>Hea 03b</v>
      </c>
      <c r="C53" s="96" t="str">
        <f t="shared" si="19"/>
        <v>Hea 03</v>
      </c>
      <c r="D53" s="163" t="s">
        <v>695</v>
      </c>
      <c r="E53" s="1107" t="s">
        <v>612</v>
      </c>
      <c r="F53" s="775">
        <v>1</v>
      </c>
      <c r="G53" s="775">
        <v>1</v>
      </c>
      <c r="H53" s="775">
        <v>1</v>
      </c>
      <c r="I53" s="775">
        <v>1</v>
      </c>
      <c r="J53" s="775">
        <v>1</v>
      </c>
      <c r="K53" s="775">
        <v>1</v>
      </c>
      <c r="L53" s="775">
        <v>1</v>
      </c>
      <c r="M53" s="775">
        <v>1</v>
      </c>
      <c r="N53" s="775">
        <v>1</v>
      </c>
      <c r="O53" s="775">
        <v>1</v>
      </c>
      <c r="P53" s="775">
        <v>1</v>
      </c>
      <c r="Q53" s="775">
        <v>1</v>
      </c>
      <c r="R53" s="775">
        <v>1</v>
      </c>
      <c r="T53" s="212">
        <f t="shared" si="66"/>
        <v>1</v>
      </c>
      <c r="U53" s="222">
        <f>IF(AND(ADBT0=ADBT1,ADIND_option03=AD_no),Poeng!T53,0)</f>
        <v>0</v>
      </c>
      <c r="V53" s="167"/>
      <c r="W53" s="167"/>
      <c r="X53" s="168"/>
      <c r="Y53" s="169">
        <f>IF($Y$4=$Y$6,T53,0)</f>
        <v>0</v>
      </c>
      <c r="Z53" s="1158">
        <f>VLOOKUP(B53,'Manuell filtrering og justering'!$A$7:$H$107,'Manuell filtrering og justering'!$H$1,FALSE)</f>
        <v>1</v>
      </c>
      <c r="AA53" s="169">
        <f t="shared" si="68"/>
        <v>0</v>
      </c>
      <c r="AB53" s="170">
        <f>IF($AC$5='Manuell filtrering og justering'!$J$2,Z53,(T53-AA53))</f>
        <v>1</v>
      </c>
      <c r="AD53" s="171">
        <f t="shared" si="69"/>
        <v>8.4210526315789472E-3</v>
      </c>
      <c r="AE53" s="171">
        <f t="shared" si="87"/>
        <v>0</v>
      </c>
      <c r="AF53" s="171">
        <f t="shared" si="88"/>
        <v>0</v>
      </c>
      <c r="AG53" s="171">
        <f t="shared" si="89"/>
        <v>0</v>
      </c>
      <c r="AI53" s="172">
        <f>IF(VLOOKUP(E53,'Pre-Assessment Estimator'!$E$11:$Z$228,'Pre-Assessment Estimator'!$G$2,FALSE)&gt;AB53,AB53,VLOOKUP(E53,'Pre-Assessment Estimator'!$E$11:$Z$228,'Pre-Assessment Estimator'!$G$2,FALSE))</f>
        <v>0</v>
      </c>
      <c r="AJ53" s="172">
        <f>IF(VLOOKUP(E53,'Pre-Assessment Estimator'!$E$11:$Z$228,'Pre-Assessment Estimator'!$N$2,FALSE)&gt;AB53,AB53,VLOOKUP(E53,'Pre-Assessment Estimator'!$E$11:$Z$228,'Pre-Assessment Estimator'!$N$2,FALSE))</f>
        <v>0</v>
      </c>
      <c r="AK53" s="172">
        <f>IF(VLOOKUP(E53,'Pre-Assessment Estimator'!$E$11:$Z$228,'Pre-Assessment Estimator'!$U$2,FALSE)&gt;AB53,AB53,VLOOKUP(E53,'Pre-Assessment Estimator'!$E$11:$Z$228,'Pre-Assessment Estimator'!$U$2,FALSE))</f>
        <v>0</v>
      </c>
      <c r="AM53" s="292"/>
      <c r="AN53" s="293"/>
      <c r="AO53" s="293"/>
      <c r="AP53" s="293"/>
      <c r="AQ53" s="294"/>
      <c r="AS53" s="292"/>
      <c r="AT53" s="293"/>
      <c r="AU53" s="293"/>
      <c r="AV53" s="293"/>
      <c r="AW53" s="294"/>
      <c r="AY53" s="188"/>
      <c r="AZ53" s="189"/>
      <c r="BA53" s="189"/>
      <c r="BB53" s="189"/>
      <c r="BC53" s="190"/>
      <c r="BD53" s="687">
        <f t="shared" si="95"/>
        <v>9</v>
      </c>
      <c r="BE53" s="164" t="str">
        <f t="shared" si="71"/>
        <v>N/A</v>
      </c>
      <c r="BF53" s="185"/>
      <c r="BG53" s="182">
        <f t="shared" si="96"/>
        <v>9</v>
      </c>
      <c r="BH53" s="164" t="str">
        <f t="shared" si="73"/>
        <v>N/A</v>
      </c>
      <c r="BI53" s="185"/>
      <c r="BJ53" s="182">
        <f t="shared" si="97"/>
        <v>9</v>
      </c>
      <c r="BK53" s="164" t="str">
        <f t="shared" si="74"/>
        <v>N/A</v>
      </c>
      <c r="BL53" s="185"/>
      <c r="BO53" s="167"/>
      <c r="BP53" s="167"/>
      <c r="BQ53" s="167" t="str">
        <f t="shared" si="15"/>
        <v/>
      </c>
      <c r="BR53" s="167">
        <f t="shared" si="55"/>
        <v>9</v>
      </c>
      <c r="BS53" s="167">
        <f t="shared" si="56"/>
        <v>9</v>
      </c>
      <c r="BT53" s="167">
        <f t="shared" si="57"/>
        <v>9</v>
      </c>
      <c r="BW53" s="167"/>
      <c r="BX53" s="167"/>
      <c r="BY53" s="230"/>
      <c r="BZ53" s="167"/>
      <c r="CA53" s="680"/>
      <c r="CB53" s="167"/>
      <c r="CE53" s="167"/>
      <c r="CG53" s="681"/>
    </row>
    <row r="54" spans="1:85" x14ac:dyDescent="0.25">
      <c r="A54" s="96">
        <v>46</v>
      </c>
      <c r="B54" s="96" t="str">
        <f t="shared" si="104"/>
        <v>Hea 03c</v>
      </c>
      <c r="C54" s="96" t="str">
        <f t="shared" si="19"/>
        <v>Hea 03</v>
      </c>
      <c r="D54" s="166" t="s">
        <v>696</v>
      </c>
      <c r="E54" s="1107" t="s">
        <v>613</v>
      </c>
      <c r="F54" s="775">
        <v>1</v>
      </c>
      <c r="G54" s="775">
        <v>1</v>
      </c>
      <c r="H54" s="775">
        <v>1</v>
      </c>
      <c r="I54" s="775">
        <v>1</v>
      </c>
      <c r="J54" s="775">
        <v>1</v>
      </c>
      <c r="K54" s="775">
        <v>1</v>
      </c>
      <c r="L54" s="775">
        <v>1</v>
      </c>
      <c r="M54" s="775">
        <v>1</v>
      </c>
      <c r="N54" s="775">
        <v>1</v>
      </c>
      <c r="O54" s="775">
        <v>1</v>
      </c>
      <c r="P54" s="775">
        <v>1</v>
      </c>
      <c r="Q54" s="775">
        <v>1</v>
      </c>
      <c r="R54" s="775">
        <v>1</v>
      </c>
      <c r="T54" s="212">
        <f t="shared" si="66"/>
        <v>1</v>
      </c>
      <c r="U54" s="222">
        <f>IF(AND(ADBT0=ADBT1,ADIND_option03=AD_no),Poeng!T54,0)</f>
        <v>0</v>
      </c>
      <c r="V54" s="167"/>
      <c r="W54" s="167"/>
      <c r="X54" s="168"/>
      <c r="Y54" s="169">
        <f>IF(OR($Y$4=$Y$5,$Y$4=$Y$6),T54,0)</f>
        <v>0</v>
      </c>
      <c r="Z54" s="1158">
        <f>VLOOKUP(B54,'Manuell filtrering og justering'!$A$7:$H$107,'Manuell filtrering og justering'!$H$1,FALSE)</f>
        <v>1</v>
      </c>
      <c r="AA54" s="169">
        <f t="shared" si="68"/>
        <v>0</v>
      </c>
      <c r="AB54" s="170">
        <f>IF($AC$5='Manuell filtrering og justering'!$J$2,Z54,(T54-AA54))</f>
        <v>1</v>
      </c>
      <c r="AD54" s="171">
        <f t="shared" si="69"/>
        <v>8.4210526315789472E-3</v>
      </c>
      <c r="AE54" s="171">
        <f t="shared" si="87"/>
        <v>0</v>
      </c>
      <c r="AF54" s="171">
        <f t="shared" si="88"/>
        <v>0</v>
      </c>
      <c r="AG54" s="171">
        <f t="shared" si="89"/>
        <v>0</v>
      </c>
      <c r="AI54" s="172">
        <f>IF(VLOOKUP(E54,'Pre-Assessment Estimator'!$E$11:$Z$228,'Pre-Assessment Estimator'!$G$2,FALSE)&gt;AB54,AB54,VLOOKUP(E54,'Pre-Assessment Estimator'!$E$11:$Z$228,'Pre-Assessment Estimator'!$G$2,FALSE))</f>
        <v>0</v>
      </c>
      <c r="AJ54" s="172">
        <f>IF(VLOOKUP(E54,'Pre-Assessment Estimator'!$E$11:$Z$228,'Pre-Assessment Estimator'!$N$2,FALSE)&gt;AB54,AB54,VLOOKUP(E54,'Pre-Assessment Estimator'!$E$11:$Z$228,'Pre-Assessment Estimator'!$N$2,FALSE))</f>
        <v>0</v>
      </c>
      <c r="AK54" s="172">
        <f>IF(VLOOKUP(E54,'Pre-Assessment Estimator'!$E$11:$Z$228,'Pre-Assessment Estimator'!$U$2,FALSE)&gt;AB54,AB54,VLOOKUP(E54,'Pre-Assessment Estimator'!$E$11:$Z$228,'Pre-Assessment Estimator'!$U$2,FALSE))</f>
        <v>0</v>
      </c>
      <c r="AM54" s="292"/>
      <c r="AN54" s="293"/>
      <c r="AO54" s="293"/>
      <c r="AP54" s="293"/>
      <c r="AQ54" s="294"/>
      <c r="AS54" s="292"/>
      <c r="AT54" s="293"/>
      <c r="AU54" s="293"/>
      <c r="AV54" s="293"/>
      <c r="AW54" s="294"/>
      <c r="AY54" s="188"/>
      <c r="AZ54" s="189"/>
      <c r="BA54" s="189"/>
      <c r="BB54" s="189"/>
      <c r="BC54" s="190"/>
      <c r="BD54" s="687">
        <f t="shared" si="95"/>
        <v>9</v>
      </c>
      <c r="BE54" s="164" t="str">
        <f t="shared" si="71"/>
        <v>N/A</v>
      </c>
      <c r="BF54" s="185"/>
      <c r="BG54" s="182">
        <f t="shared" si="96"/>
        <v>9</v>
      </c>
      <c r="BH54" s="164" t="str">
        <f t="shared" si="73"/>
        <v>N/A</v>
      </c>
      <c r="BI54" s="185"/>
      <c r="BJ54" s="182">
        <f t="shared" si="97"/>
        <v>9</v>
      </c>
      <c r="BK54" s="164" t="str">
        <f t="shared" si="74"/>
        <v>N/A</v>
      </c>
      <c r="BL54" s="185"/>
      <c r="BO54" s="167"/>
      <c r="BP54" s="167"/>
      <c r="BQ54" s="167" t="str">
        <f t="shared" si="15"/>
        <v/>
      </c>
      <c r="BR54" s="167">
        <f t="shared" si="55"/>
        <v>9</v>
      </c>
      <c r="BS54" s="167">
        <f t="shared" si="56"/>
        <v>9</v>
      </c>
      <c r="BT54" s="167">
        <f t="shared" si="57"/>
        <v>9</v>
      </c>
      <c r="BW54" s="167"/>
      <c r="BX54" s="167"/>
      <c r="BY54" s="230"/>
      <c r="BZ54" s="167"/>
      <c r="CA54" s="680"/>
      <c r="CB54" s="167"/>
      <c r="CE54" s="167"/>
      <c r="CG54" s="681"/>
    </row>
    <row r="55" spans="1:85" x14ac:dyDescent="0.25">
      <c r="A55" s="96">
        <v>47</v>
      </c>
      <c r="D55" s="701" t="s">
        <v>119</v>
      </c>
      <c r="E55" s="702"/>
      <c r="F55" s="935"/>
      <c r="G55" s="935"/>
      <c r="H55" s="935"/>
      <c r="I55" s="935"/>
      <c r="J55" s="935"/>
      <c r="K55" s="935"/>
      <c r="L55" s="935"/>
      <c r="M55" s="935"/>
      <c r="N55" s="935"/>
      <c r="O55" s="935"/>
      <c r="P55" s="935"/>
      <c r="Q55" s="935"/>
      <c r="R55" s="935"/>
      <c r="T55" s="962"/>
      <c r="U55" s="701"/>
      <c r="V55" s="700"/>
      <c r="W55" s="700"/>
      <c r="X55" s="955"/>
      <c r="Y55" s="956"/>
      <c r="Z55" s="1158"/>
      <c r="AA55" s="956"/>
      <c r="AB55" s="957"/>
      <c r="AD55" s="171">
        <f t="shared" si="69"/>
        <v>0</v>
      </c>
      <c r="AE55" s="960"/>
      <c r="AF55" s="960"/>
      <c r="AG55" s="960"/>
      <c r="AI55" s="720"/>
      <c r="AJ55" s="720"/>
      <c r="AK55" s="720"/>
      <c r="AL55" s="96" t="s">
        <v>425</v>
      </c>
      <c r="AM55" s="292"/>
      <c r="AN55" s="293"/>
      <c r="AO55" s="293"/>
      <c r="AP55" s="293"/>
      <c r="AQ55" s="294"/>
      <c r="AS55" s="292"/>
      <c r="AT55" s="293"/>
      <c r="AU55" s="293"/>
      <c r="AV55" s="293"/>
      <c r="AW55" s="294"/>
      <c r="AY55" s="188"/>
      <c r="AZ55" s="189"/>
      <c r="BA55" s="189"/>
      <c r="BB55" s="189"/>
      <c r="BC55" s="190"/>
      <c r="BD55" s="687">
        <f t="shared" si="95"/>
        <v>9</v>
      </c>
      <c r="BE55" s="164" t="str">
        <f t="shared" si="71"/>
        <v>N/A</v>
      </c>
      <c r="BF55" s="185"/>
      <c r="BG55" s="182">
        <f t="shared" si="96"/>
        <v>9</v>
      </c>
      <c r="BH55" s="164" t="str">
        <f t="shared" si="73"/>
        <v>N/A</v>
      </c>
      <c r="BI55" s="185"/>
      <c r="BJ55" s="182">
        <f t="shared" si="97"/>
        <v>9</v>
      </c>
      <c r="BK55" s="164" t="str">
        <f t="shared" si="74"/>
        <v>N/A</v>
      </c>
      <c r="BL55" s="185"/>
      <c r="BO55" s="167"/>
      <c r="BP55" s="167"/>
      <c r="BQ55" s="167" t="str">
        <f t="shared" si="15"/>
        <v/>
      </c>
      <c r="BR55" s="167">
        <f t="shared" si="55"/>
        <v>9</v>
      </c>
      <c r="BS55" s="167">
        <f t="shared" si="56"/>
        <v>9</v>
      </c>
      <c r="BT55" s="167">
        <f t="shared" si="57"/>
        <v>9</v>
      </c>
      <c r="BW55" s="167" t="str">
        <f>D55</f>
        <v>Hea 04</v>
      </c>
      <c r="BX55" s="167" t="str">
        <f>IFERROR(VLOOKUP($E55,'Pre-Assessment Estimator'!$E$11:$AB$228,'Pre-Assessment Estimator'!AB$2,FALSE),"")</f>
        <v/>
      </c>
      <c r="BY55" s="230" t="str">
        <f>IFERROR(VLOOKUP($E55,'Pre-Assessment Estimator'!$E$11:$AI$228,'Pre-Assessment Estimator'!AI$2,FALSE),"")</f>
        <v/>
      </c>
      <c r="BZ55" s="167" t="str">
        <f>IFERROR(VLOOKUP($BX55,$E$294:$H$327,F$292,FALSE),"")</f>
        <v/>
      </c>
      <c r="CA55" s="680" t="s">
        <v>430</v>
      </c>
      <c r="CB55" s="167"/>
      <c r="CC55" s="96" t="str">
        <f>IFERROR(VLOOKUP($BX55,$E$294:$H$327,I$292,FALSE),"")</f>
        <v/>
      </c>
      <c r="CD55" s="96" t="s">
        <v>436</v>
      </c>
      <c r="CE55" s="167">
        <f t="shared" si="75"/>
        <v>1</v>
      </c>
      <c r="CG55" s="681">
        <f>IF($BX$5=ais_nei,CE55,IF(AND(CA55=$CA$4,BX55=$CC$4),0,BZ55))</f>
        <v>1</v>
      </c>
    </row>
    <row r="56" spans="1:85" x14ac:dyDescent="0.25">
      <c r="A56" s="96">
        <v>48</v>
      </c>
      <c r="B56" s="137" t="str">
        <f>D56</f>
        <v>Hea 05</v>
      </c>
      <c r="C56" s="137" t="str">
        <f>B56</f>
        <v>Hea 05</v>
      </c>
      <c r="D56" s="834" t="s">
        <v>120</v>
      </c>
      <c r="E56" s="832" t="s">
        <v>126</v>
      </c>
      <c r="F56" s="933">
        <f t="shared" ref="F56:R56" si="105">SUM(F57:F58)</f>
        <v>3</v>
      </c>
      <c r="G56" s="933">
        <f t="shared" si="105"/>
        <v>3</v>
      </c>
      <c r="H56" s="933">
        <f t="shared" si="105"/>
        <v>4</v>
      </c>
      <c r="I56" s="933">
        <f t="shared" si="105"/>
        <v>3</v>
      </c>
      <c r="J56" s="933">
        <f t="shared" si="105"/>
        <v>3</v>
      </c>
      <c r="K56" s="933">
        <f t="shared" si="105"/>
        <v>3</v>
      </c>
      <c r="L56" s="933">
        <f t="shared" si="105"/>
        <v>3</v>
      </c>
      <c r="M56" s="933">
        <f t="shared" si="105"/>
        <v>4</v>
      </c>
      <c r="N56" s="933">
        <f t="shared" si="105"/>
        <v>4</v>
      </c>
      <c r="O56" s="933">
        <f t="shared" si="105"/>
        <v>3</v>
      </c>
      <c r="P56" s="933">
        <f t="shared" si="105"/>
        <v>3</v>
      </c>
      <c r="Q56" s="933">
        <f t="shared" ref="Q56" si="106">SUM(Q57:Q58)</f>
        <v>3</v>
      </c>
      <c r="R56" s="933">
        <f t="shared" si="105"/>
        <v>3</v>
      </c>
      <c r="S56" s="667" t="s">
        <v>573</v>
      </c>
      <c r="T56" s="961">
        <f t="shared" ref="T56:T61" si="107">HLOOKUP($E$6,$F$9:$R$231,$A56,FALSE)</f>
        <v>3</v>
      </c>
      <c r="U56" s="222"/>
      <c r="V56" s="230"/>
      <c r="W56" s="230"/>
      <c r="X56" s="1098">
        <f>'Manuell filtrering og justering'!E21</f>
        <v>0</v>
      </c>
      <c r="Y56" s="963"/>
      <c r="Z56" s="1177">
        <f t="shared" ref="Z56" si="108">SUM(Z57:Z58)</f>
        <v>3</v>
      </c>
      <c r="AA56" s="963">
        <f t="shared" ref="AA56:AA61" si="109">IF(SUM(U56:Y56)&gt;T56,T56,SUM(U56:Y56))</f>
        <v>0</v>
      </c>
      <c r="AB56" s="1066">
        <f t="shared" ref="AB56" si="110">SUM(AB57:AB58)</f>
        <v>3</v>
      </c>
      <c r="AD56" s="171">
        <f t="shared" si="69"/>
        <v>2.5263157894736842E-2</v>
      </c>
      <c r="AE56" s="921">
        <f>SUM(AE57:AE58)</f>
        <v>0</v>
      </c>
      <c r="AF56" s="921">
        <f t="shared" ref="AF56:AG56" si="111">SUM(AF57:AF58)</f>
        <v>0</v>
      </c>
      <c r="AG56" s="921">
        <f t="shared" si="111"/>
        <v>0</v>
      </c>
      <c r="AI56" s="958">
        <f t="shared" ref="AI56:AK56" si="112">SUM(AI57:AI58)</f>
        <v>0</v>
      </c>
      <c r="AJ56" s="958">
        <f t="shared" si="112"/>
        <v>0</v>
      </c>
      <c r="AK56" s="958">
        <f t="shared" si="112"/>
        <v>0</v>
      </c>
      <c r="AM56" s="292"/>
      <c r="AN56" s="293"/>
      <c r="AO56" s="293"/>
      <c r="AP56" s="293"/>
      <c r="AQ56" s="294"/>
      <c r="AS56" s="292"/>
      <c r="AT56" s="293"/>
      <c r="AU56" s="293"/>
      <c r="AV56" s="293"/>
      <c r="AW56" s="294"/>
      <c r="AY56" s="188"/>
      <c r="AZ56" s="189"/>
      <c r="BA56" s="189"/>
      <c r="BB56" s="189"/>
      <c r="BC56" s="190"/>
      <c r="BD56" s="687">
        <f t="shared" si="95"/>
        <v>9</v>
      </c>
      <c r="BE56" s="164" t="str">
        <f t="shared" si="71"/>
        <v>N/A</v>
      </c>
      <c r="BF56" s="185"/>
      <c r="BG56" s="182">
        <f t="shared" si="96"/>
        <v>9</v>
      </c>
      <c r="BH56" s="164" t="str">
        <f t="shared" si="73"/>
        <v>N/A</v>
      </c>
      <c r="BI56" s="185"/>
      <c r="BJ56" s="182">
        <f t="shared" si="97"/>
        <v>9</v>
      </c>
      <c r="BK56" s="164" t="str">
        <f t="shared" si="74"/>
        <v>N/A</v>
      </c>
      <c r="BL56" s="185"/>
      <c r="BO56" s="167"/>
      <c r="BP56" s="167"/>
      <c r="BQ56" s="167" t="str">
        <f t="shared" si="15"/>
        <v/>
      </c>
      <c r="BR56" s="167">
        <f t="shared" si="55"/>
        <v>9</v>
      </c>
      <c r="BS56" s="167">
        <f t="shared" si="56"/>
        <v>9</v>
      </c>
      <c r="BT56" s="167">
        <f t="shared" si="57"/>
        <v>9</v>
      </c>
      <c r="BW56" s="167" t="str">
        <f>D56</f>
        <v>Hea 05</v>
      </c>
      <c r="BX56" s="167" t="str">
        <f>IFERROR(VLOOKUP($E56,'Pre-Assessment Estimator'!$E$11:$AB$228,'Pre-Assessment Estimator'!AB$2,FALSE),"")</f>
        <v>No</v>
      </c>
      <c r="BY56" s="167">
        <f>IFERROR(VLOOKUP($E56,'Pre-Assessment Estimator'!$E$11:$AI$228,'Pre-Assessment Estimator'!AI$2,FALSE),"")</f>
        <v>0</v>
      </c>
      <c r="BZ56" s="167">
        <f>IFERROR(VLOOKUP($BX56,$E$294:$H$327,F$292,FALSE),"")</f>
        <v>1</v>
      </c>
      <c r="CA56" s="167">
        <f>IFERROR(VLOOKUP($BX56,$E$294:$H$327,G$292,FALSE),"")</f>
        <v>0</v>
      </c>
      <c r="CB56" s="167"/>
      <c r="CC56" s="96" t="str">
        <f>IFERROR(VLOOKUP($BX56,$E$294:$H$327,I$292,FALSE),"")</f>
        <v/>
      </c>
    </row>
    <row r="57" spans="1:85" x14ac:dyDescent="0.25">
      <c r="A57" s="96">
        <v>49</v>
      </c>
      <c r="C57" s="96" t="str">
        <f t="shared" si="19"/>
        <v>Hea 05</v>
      </c>
      <c r="D57" s="163" t="s">
        <v>692</v>
      </c>
      <c r="E57" s="940" t="s">
        <v>614</v>
      </c>
      <c r="F57" s="767"/>
      <c r="G57" s="767"/>
      <c r="H57" s="767"/>
      <c r="I57" s="767"/>
      <c r="J57" s="767"/>
      <c r="K57" s="767"/>
      <c r="L57" s="767"/>
      <c r="M57" s="767"/>
      <c r="N57" s="767"/>
      <c r="O57" s="767"/>
      <c r="P57" s="767"/>
      <c r="Q57" s="767"/>
      <c r="R57" s="767"/>
      <c r="S57" s="667"/>
      <c r="T57" s="212">
        <f t="shared" si="107"/>
        <v>0</v>
      </c>
      <c r="U57" s="166"/>
      <c r="V57" s="167"/>
      <c r="W57" s="167"/>
      <c r="X57" s="168"/>
      <c r="Y57" s="169"/>
      <c r="Z57" s="1158"/>
      <c r="AA57" s="169">
        <f t="shared" si="109"/>
        <v>0</v>
      </c>
      <c r="AB57" s="170">
        <f>IF($AC$5='Manuell filtrering og justering'!$J$2,Z57,(T57-AA57))</f>
        <v>0</v>
      </c>
      <c r="AD57" s="171">
        <f t="shared" si="69"/>
        <v>0</v>
      </c>
      <c r="AE57" s="171">
        <f t="shared" si="87"/>
        <v>0</v>
      </c>
      <c r="AF57" s="171">
        <f t="shared" si="88"/>
        <v>0</v>
      </c>
      <c r="AG57" s="171">
        <f t="shared" si="89"/>
        <v>0</v>
      </c>
      <c r="AI57" s="172">
        <f>IF(VLOOKUP(E57,'Pre-Assessment Estimator'!$E$11:$Z$228,'Pre-Assessment Estimator'!$G$2,FALSE)&gt;AB57,AB57,VLOOKUP(E57,'Pre-Assessment Estimator'!$E$11:$Z$228,'Pre-Assessment Estimator'!$G$2,FALSE))</f>
        <v>0</v>
      </c>
      <c r="AJ57" s="172">
        <f>IF(VLOOKUP(E57,'Pre-Assessment Estimator'!$E$11:$Z$228,'Pre-Assessment Estimator'!$N$2,FALSE)&gt;AB57,AB57,VLOOKUP(E57,'Pre-Assessment Estimator'!$E$11:$Z$228,'Pre-Assessment Estimator'!$N$2,FALSE))</f>
        <v>0</v>
      </c>
      <c r="AK57" s="172">
        <f>IF(VLOOKUP(E57,'Pre-Assessment Estimator'!$E$11:$Z$228,'Pre-Assessment Estimator'!$U$2,FALSE)&gt;AB57,AB57,VLOOKUP(E57,'Pre-Assessment Estimator'!$E$11:$Z$228,'Pre-Assessment Estimator'!$U$2,FALSE))</f>
        <v>0</v>
      </c>
      <c r="AM57" s="292"/>
      <c r="AN57" s="293"/>
      <c r="AO57" s="293"/>
      <c r="AP57" s="293"/>
      <c r="AQ57" s="294"/>
      <c r="AS57" s="292"/>
      <c r="AT57" s="293"/>
      <c r="AU57" s="293"/>
      <c r="AV57" s="293"/>
      <c r="AW57" s="294"/>
      <c r="AY57" s="188"/>
      <c r="AZ57" s="189"/>
      <c r="BA57" s="189"/>
      <c r="BB57" s="189"/>
      <c r="BC57" s="190"/>
      <c r="BD57" s="687">
        <f t="shared" si="95"/>
        <v>9</v>
      </c>
      <c r="BE57" s="164" t="str">
        <f t="shared" si="71"/>
        <v>N/A</v>
      </c>
      <c r="BF57" s="185"/>
      <c r="BG57" s="182">
        <f t="shared" si="96"/>
        <v>9</v>
      </c>
      <c r="BH57" s="164" t="str">
        <f t="shared" si="73"/>
        <v>N/A</v>
      </c>
      <c r="BI57" s="185"/>
      <c r="BJ57" s="182">
        <f t="shared" si="97"/>
        <v>9</v>
      </c>
      <c r="BK57" s="164" t="str">
        <f t="shared" si="74"/>
        <v>N/A</v>
      </c>
      <c r="BL57" s="185"/>
      <c r="BO57" s="167"/>
      <c r="BP57" s="167"/>
      <c r="BQ57" s="167" t="str">
        <f t="shared" si="15"/>
        <v/>
      </c>
      <c r="BR57" s="167">
        <f t="shared" si="55"/>
        <v>9</v>
      </c>
      <c r="BS57" s="167">
        <f t="shared" si="56"/>
        <v>9</v>
      </c>
      <c r="BT57" s="167">
        <f t="shared" si="57"/>
        <v>9</v>
      </c>
      <c r="BW57" s="167"/>
      <c r="BX57" s="167"/>
      <c r="BY57" s="167"/>
      <c r="BZ57" s="167"/>
      <c r="CA57" s="167"/>
      <c r="CB57" s="167"/>
    </row>
    <row r="58" spans="1:85" x14ac:dyDescent="0.25">
      <c r="A58" s="96">
        <v>50</v>
      </c>
      <c r="B58" s="96" t="str">
        <f t="shared" ref="B58" si="113">$D$56&amp;D58</f>
        <v>Hea 05b</v>
      </c>
      <c r="C58" s="96" t="str">
        <f t="shared" si="19"/>
        <v>Hea 05</v>
      </c>
      <c r="D58" s="163" t="s">
        <v>695</v>
      </c>
      <c r="E58" s="1107" t="s">
        <v>615</v>
      </c>
      <c r="F58" s="775">
        <v>3</v>
      </c>
      <c r="G58" s="775">
        <v>3</v>
      </c>
      <c r="H58" s="1022">
        <v>4</v>
      </c>
      <c r="I58" s="775">
        <v>3</v>
      </c>
      <c r="J58" s="775">
        <v>3</v>
      </c>
      <c r="K58" s="775">
        <v>3</v>
      </c>
      <c r="L58" s="775">
        <v>3</v>
      </c>
      <c r="M58" s="1022">
        <v>4</v>
      </c>
      <c r="N58" s="1022">
        <v>4</v>
      </c>
      <c r="O58" s="775">
        <v>3</v>
      </c>
      <c r="P58" s="775">
        <v>3</v>
      </c>
      <c r="Q58" s="775">
        <v>3</v>
      </c>
      <c r="R58" s="775">
        <v>3</v>
      </c>
      <c r="S58" s="667"/>
      <c r="T58" s="212">
        <f t="shared" si="107"/>
        <v>3</v>
      </c>
      <c r="U58" s="166"/>
      <c r="V58" s="167"/>
      <c r="W58" s="167"/>
      <c r="X58" s="168"/>
      <c r="Y58" s="169">
        <f>IF($Y$4=$Y$6,T58,0)</f>
        <v>0</v>
      </c>
      <c r="Z58" s="1158">
        <f>VLOOKUP(B58,'Manuell filtrering og justering'!$A$7:$H$107,'Manuell filtrering og justering'!$H$1,FALSE)</f>
        <v>3</v>
      </c>
      <c r="AA58" s="169">
        <f t="shared" si="109"/>
        <v>0</v>
      </c>
      <c r="AB58" s="170">
        <f>IF($AC$5='Manuell filtrering og justering'!$J$2,Z58,(T58-AA58))</f>
        <v>3</v>
      </c>
      <c r="AD58" s="171">
        <f t="shared" si="69"/>
        <v>2.5263157894736842E-2</v>
      </c>
      <c r="AE58" s="171">
        <f t="shared" si="87"/>
        <v>0</v>
      </c>
      <c r="AF58" s="171">
        <f t="shared" si="88"/>
        <v>0</v>
      </c>
      <c r="AG58" s="171">
        <f t="shared" si="89"/>
        <v>0</v>
      </c>
      <c r="AI58" s="1067">
        <f>IF(AI237=AD_no,0,IF(VLOOKUP(E58,'Pre-Assessment Estimator'!$E$11:$Z$228,'Pre-Assessment Estimator'!$G$2,FALSE)&gt;AB58,AB58,VLOOKUP(E58,'Pre-Assessment Estimator'!$E$11:$Z$228,'Pre-Assessment Estimator'!$G$2,FALSE)))</f>
        <v>0</v>
      </c>
      <c r="AJ58" s="1067">
        <f>IF(AJ237=AD_no,0,IF(VLOOKUP(E58,'Pre-Assessment Estimator'!$E$11:$Z$228,'Pre-Assessment Estimator'!$N$2,FALSE)&gt;AB58,AB58,VLOOKUP(E58,'Pre-Assessment Estimator'!$E$11:$Z$228,'Pre-Assessment Estimator'!$N$2,FALSE)))</f>
        <v>0</v>
      </c>
      <c r="AK58" s="1067">
        <f>IF(AK237=AD_no,0,IF(VLOOKUP(E58,'Pre-Assessment Estimator'!$E$11:$Z$228,'Pre-Assessment Estimator'!$U$2,FALSE)&gt;AB58,AB58,VLOOKUP(E58,'Pre-Assessment Estimator'!$E$11:$Z$228,'Pre-Assessment Estimator'!$U$2,FALSE)))</f>
        <v>0</v>
      </c>
      <c r="AM58" s="292"/>
      <c r="AN58" s="293"/>
      <c r="AO58" s="293"/>
      <c r="AP58" s="293"/>
      <c r="AQ58" s="294"/>
      <c r="AS58" s="292"/>
      <c r="AT58" s="293"/>
      <c r="AU58" s="293"/>
      <c r="AV58" s="293"/>
      <c r="AW58" s="294"/>
      <c r="AY58" s="188"/>
      <c r="AZ58" s="189"/>
      <c r="BA58" s="189"/>
      <c r="BB58" s="189"/>
      <c r="BC58" s="190"/>
      <c r="BD58" s="687">
        <f t="shared" si="95"/>
        <v>9</v>
      </c>
      <c r="BE58" s="164" t="str">
        <f t="shared" si="71"/>
        <v>N/A</v>
      </c>
      <c r="BF58" s="185"/>
      <c r="BG58" s="182">
        <f t="shared" si="96"/>
        <v>9</v>
      </c>
      <c r="BH58" s="164" t="str">
        <f t="shared" si="73"/>
        <v>N/A</v>
      </c>
      <c r="BI58" s="185"/>
      <c r="BJ58" s="182">
        <f t="shared" si="97"/>
        <v>9</v>
      </c>
      <c r="BK58" s="164" t="str">
        <f t="shared" si="74"/>
        <v>N/A</v>
      </c>
      <c r="BL58" s="185"/>
      <c r="BO58" s="167"/>
      <c r="BP58" s="167"/>
      <c r="BQ58" s="167" t="str">
        <f t="shared" si="15"/>
        <v/>
      </c>
      <c r="BR58" s="167">
        <f t="shared" si="55"/>
        <v>9</v>
      </c>
      <c r="BS58" s="167">
        <f t="shared" si="56"/>
        <v>9</v>
      </c>
      <c r="BT58" s="167">
        <f t="shared" si="57"/>
        <v>9</v>
      </c>
      <c r="BW58" s="167"/>
      <c r="BX58" s="167"/>
      <c r="BY58" s="167"/>
      <c r="BZ58" s="167"/>
      <c r="CA58" s="167"/>
      <c r="CB58" s="167"/>
    </row>
    <row r="59" spans="1:85" x14ac:dyDescent="0.25">
      <c r="A59" s="96">
        <v>51</v>
      </c>
      <c r="B59" s="137" t="str">
        <f>D59</f>
        <v>Hea 06</v>
      </c>
      <c r="C59" s="137" t="str">
        <f>B59</f>
        <v>Hea 06</v>
      </c>
      <c r="D59" s="834" t="s">
        <v>121</v>
      </c>
      <c r="E59" s="832" t="s">
        <v>113</v>
      </c>
      <c r="F59" s="933">
        <f t="shared" ref="F59:R59" si="114">SUM(F60:F61)</f>
        <v>2</v>
      </c>
      <c r="G59" s="933">
        <f t="shared" si="114"/>
        <v>2</v>
      </c>
      <c r="H59" s="933">
        <f t="shared" si="114"/>
        <v>3</v>
      </c>
      <c r="I59" s="933">
        <f t="shared" si="114"/>
        <v>2</v>
      </c>
      <c r="J59" s="933">
        <f t="shared" si="114"/>
        <v>2</v>
      </c>
      <c r="K59" s="933">
        <f t="shared" si="114"/>
        <v>2</v>
      </c>
      <c r="L59" s="933">
        <f t="shared" si="114"/>
        <v>2</v>
      </c>
      <c r="M59" s="933">
        <f t="shared" si="114"/>
        <v>3</v>
      </c>
      <c r="N59" s="933">
        <f t="shared" si="114"/>
        <v>2</v>
      </c>
      <c r="O59" s="933">
        <f t="shared" si="114"/>
        <v>2</v>
      </c>
      <c r="P59" s="933">
        <f t="shared" si="114"/>
        <v>2</v>
      </c>
      <c r="Q59" s="933">
        <f t="shared" ref="Q59" si="115">SUM(Q60:Q61)</f>
        <v>2</v>
      </c>
      <c r="R59" s="933">
        <f t="shared" si="114"/>
        <v>2</v>
      </c>
      <c r="S59" s="959" t="s">
        <v>574</v>
      </c>
      <c r="T59" s="961">
        <f t="shared" si="107"/>
        <v>2</v>
      </c>
      <c r="U59" s="222"/>
      <c r="V59" s="230"/>
      <c r="W59" s="230"/>
      <c r="X59" s="1098">
        <f>'Manuell filtrering og justering'!E22</f>
        <v>0</v>
      </c>
      <c r="Y59" s="963"/>
      <c r="Z59" s="1177">
        <f t="shared" ref="Z59" si="116">SUM(Z60:Z61)</f>
        <v>3</v>
      </c>
      <c r="AA59" s="963">
        <f t="shared" si="109"/>
        <v>0</v>
      </c>
      <c r="AB59" s="1066">
        <f t="shared" ref="AB59" si="117">SUM(AB60:AB61)</f>
        <v>2</v>
      </c>
      <c r="AD59" s="171">
        <f t="shared" si="69"/>
        <v>1.6842105263157894E-2</v>
      </c>
      <c r="AE59" s="921">
        <f>SUM(AE60:AE61)</f>
        <v>0</v>
      </c>
      <c r="AF59" s="921">
        <f t="shared" ref="AF59:AG59" si="118">SUM(AF60:AF62)</f>
        <v>0</v>
      </c>
      <c r="AG59" s="921">
        <f t="shared" si="118"/>
        <v>0</v>
      </c>
      <c r="AI59" s="958">
        <f t="shared" ref="AI59:AK59" si="119">SUM(AI60:AI61)</f>
        <v>0</v>
      </c>
      <c r="AJ59" s="958">
        <f t="shared" si="119"/>
        <v>0</v>
      </c>
      <c r="AK59" s="958">
        <f t="shared" si="119"/>
        <v>0</v>
      </c>
      <c r="AM59" s="292"/>
      <c r="AN59" s="293"/>
      <c r="AO59" s="293"/>
      <c r="AP59" s="293"/>
      <c r="AQ59" s="294"/>
      <c r="AS59" s="292"/>
      <c r="AT59" s="293"/>
      <c r="AU59" s="293"/>
      <c r="AV59" s="293"/>
      <c r="AW59" s="294"/>
      <c r="AY59" s="188"/>
      <c r="AZ59" s="189"/>
      <c r="BA59" s="189"/>
      <c r="BB59" s="189"/>
      <c r="BC59" s="190"/>
      <c r="BD59" s="687">
        <f t="shared" si="95"/>
        <v>9</v>
      </c>
      <c r="BE59" s="164" t="str">
        <f t="shared" si="71"/>
        <v>N/A</v>
      </c>
      <c r="BF59" s="185"/>
      <c r="BG59" s="182">
        <f t="shared" si="96"/>
        <v>9</v>
      </c>
      <c r="BH59" s="164" t="str">
        <f t="shared" si="73"/>
        <v>N/A</v>
      </c>
      <c r="BI59" s="185"/>
      <c r="BJ59" s="182">
        <f t="shared" si="97"/>
        <v>9</v>
      </c>
      <c r="BK59" s="164" t="str">
        <f t="shared" si="74"/>
        <v>N/A</v>
      </c>
      <c r="BL59" s="185"/>
      <c r="BO59" s="167"/>
      <c r="BP59" s="167"/>
      <c r="BQ59" s="167" t="str">
        <f t="shared" si="15"/>
        <v/>
      </c>
      <c r="BR59" s="167">
        <f t="shared" si="55"/>
        <v>9</v>
      </c>
      <c r="BS59" s="167">
        <f t="shared" si="56"/>
        <v>9</v>
      </c>
      <c r="BT59" s="167">
        <f t="shared" si="57"/>
        <v>9</v>
      </c>
      <c r="BW59" s="167" t="str">
        <f>D59</f>
        <v>Hea 06</v>
      </c>
      <c r="BX59" s="167" t="str">
        <f>IFERROR(VLOOKUP($E59,'Pre-Assessment Estimator'!$E$11:$AB$228,'Pre-Assessment Estimator'!AB$2,FALSE),"")</f>
        <v>N/A</v>
      </c>
      <c r="BY59" s="167">
        <f>IFERROR(VLOOKUP($E59,'Pre-Assessment Estimator'!$E$11:$AI$228,'Pre-Assessment Estimator'!AI$2,FALSE),"")</f>
        <v>0</v>
      </c>
      <c r="BZ59" s="167">
        <f>IFERROR(VLOOKUP($BX59,$E$294:$H$327,F$292,FALSE),"")</f>
        <v>1</v>
      </c>
      <c r="CA59" s="167">
        <f>IFERROR(VLOOKUP($BX59,$E$294:$H$327,G$292,FALSE),"")</f>
        <v>0</v>
      </c>
      <c r="CB59" s="167"/>
      <c r="CC59" s="96" t="str">
        <f>IFERROR(VLOOKUP($BX59,$E$294:$H$327,I$292,FALSE),"")</f>
        <v/>
      </c>
    </row>
    <row r="60" spans="1:85" x14ac:dyDescent="0.25">
      <c r="A60" s="96">
        <v>52</v>
      </c>
      <c r="B60" s="96" t="str">
        <f t="shared" ref="B60:B61" si="120">$D$59&amp;D60</f>
        <v>Hea 06a</v>
      </c>
      <c r="C60" s="96" t="str">
        <f t="shared" si="19"/>
        <v>Hea 06</v>
      </c>
      <c r="D60" s="163" t="s">
        <v>692</v>
      </c>
      <c r="E60" s="1107" t="s">
        <v>616</v>
      </c>
      <c r="F60" s="775">
        <v>1</v>
      </c>
      <c r="G60" s="775">
        <v>1</v>
      </c>
      <c r="H60" s="1022">
        <v>2</v>
      </c>
      <c r="I60" s="775">
        <v>1</v>
      </c>
      <c r="J60" s="775">
        <v>1</v>
      </c>
      <c r="K60" s="775">
        <v>1</v>
      </c>
      <c r="L60" s="775">
        <v>1</v>
      </c>
      <c r="M60" s="1022">
        <v>2</v>
      </c>
      <c r="N60" s="775">
        <v>1</v>
      </c>
      <c r="O60" s="775">
        <v>1</v>
      </c>
      <c r="P60" s="775">
        <v>1</v>
      </c>
      <c r="Q60" s="775">
        <v>1</v>
      </c>
      <c r="R60" s="775">
        <v>1</v>
      </c>
      <c r="S60" s="795"/>
      <c r="T60" s="212">
        <f t="shared" si="107"/>
        <v>1</v>
      </c>
      <c r="U60" s="166">
        <f>IF(AND(T60=2,ADBT0=ADBT16,'Assessment Details'!F6&lt;&gt;'Assessment Details'!Z7),1,0)</f>
        <v>0</v>
      </c>
      <c r="V60" s="167"/>
      <c r="W60" s="167"/>
      <c r="X60" s="168"/>
      <c r="Y60" s="169">
        <f>IF($Y$4=$Y$6,T60,0)</f>
        <v>0</v>
      </c>
      <c r="Z60" s="1158">
        <f>VLOOKUP(B60,'Manuell filtrering og justering'!$A$7:$H$107,'Manuell filtrering og justering'!$H$1,FALSE)</f>
        <v>2</v>
      </c>
      <c r="AA60" s="169">
        <f t="shared" si="109"/>
        <v>0</v>
      </c>
      <c r="AB60" s="170">
        <f>IF($AC$5='Manuell filtrering og justering'!$J$2,Z60,(T60-AA60))</f>
        <v>1</v>
      </c>
      <c r="AD60" s="171">
        <f t="shared" si="69"/>
        <v>8.4210526315789472E-3</v>
      </c>
      <c r="AE60" s="171">
        <f t="shared" si="87"/>
        <v>0</v>
      </c>
      <c r="AF60" s="171">
        <f t="shared" si="88"/>
        <v>0</v>
      </c>
      <c r="AG60" s="171">
        <f t="shared" si="89"/>
        <v>0</v>
      </c>
      <c r="AI60" s="172">
        <f>IF(VLOOKUP(E60,'Pre-Assessment Estimator'!$E$11:$Z$228,'Pre-Assessment Estimator'!$G$2,FALSE)&gt;AB60,AB60,VLOOKUP(E60,'Pre-Assessment Estimator'!$E$11:$Z$228,'Pre-Assessment Estimator'!$G$2,FALSE))</f>
        <v>0</v>
      </c>
      <c r="AJ60" s="172">
        <f>IF(VLOOKUP(E60,'Pre-Assessment Estimator'!$E$11:$Z$228,'Pre-Assessment Estimator'!$N$2,FALSE)&gt;AB60,AB60,VLOOKUP(E60,'Pre-Assessment Estimator'!$E$11:$Z$228,'Pre-Assessment Estimator'!$N$2,FALSE))</f>
        <v>0</v>
      </c>
      <c r="AK60" s="172">
        <f>IF(VLOOKUP(E60,'Pre-Assessment Estimator'!$E$11:$Z$228,'Pre-Assessment Estimator'!$U$2,FALSE)&gt;AB60,AB60,VLOOKUP(E60,'Pre-Assessment Estimator'!$E$11:$Z$228,'Pre-Assessment Estimator'!$U$2,FALSE))</f>
        <v>0</v>
      </c>
      <c r="AM60" s="292"/>
      <c r="AN60" s="293"/>
      <c r="AO60" s="293"/>
      <c r="AP60" s="293"/>
      <c r="AQ60" s="294"/>
      <c r="AS60" s="292"/>
      <c r="AT60" s="293"/>
      <c r="AU60" s="293"/>
      <c r="AV60" s="293"/>
      <c r="AW60" s="294"/>
      <c r="AY60" s="188"/>
      <c r="AZ60" s="189"/>
      <c r="BA60" s="189"/>
      <c r="BB60" s="189"/>
      <c r="BC60" s="190"/>
      <c r="BD60" s="687">
        <f t="shared" si="95"/>
        <v>9</v>
      </c>
      <c r="BE60" s="164" t="str">
        <f t="shared" si="71"/>
        <v>N/A</v>
      </c>
      <c r="BF60" s="185"/>
      <c r="BG60" s="182">
        <f t="shared" si="96"/>
        <v>9</v>
      </c>
      <c r="BH60" s="164" t="str">
        <f t="shared" si="73"/>
        <v>N/A</v>
      </c>
      <c r="BI60" s="185"/>
      <c r="BJ60" s="182">
        <f t="shared" si="97"/>
        <v>9</v>
      </c>
      <c r="BK60" s="164" t="str">
        <f t="shared" si="74"/>
        <v>N/A</v>
      </c>
      <c r="BL60" s="185"/>
      <c r="BO60" s="167"/>
      <c r="BP60" s="167"/>
      <c r="BQ60" s="167" t="str">
        <f t="shared" si="15"/>
        <v/>
      </c>
      <c r="BR60" s="167">
        <f t="shared" si="55"/>
        <v>9</v>
      </c>
      <c r="BS60" s="167">
        <f t="shared" si="56"/>
        <v>9</v>
      </c>
      <c r="BT60" s="167">
        <f t="shared" si="57"/>
        <v>9</v>
      </c>
      <c r="BW60" s="167"/>
      <c r="BX60" s="167"/>
      <c r="BY60" s="167"/>
      <c r="BZ60" s="167"/>
      <c r="CA60" s="167"/>
      <c r="CB60" s="167"/>
    </row>
    <row r="61" spans="1:85" x14ac:dyDescent="0.25">
      <c r="A61" s="96">
        <v>53</v>
      </c>
      <c r="B61" s="96" t="str">
        <f t="shared" si="120"/>
        <v>Hea 06b</v>
      </c>
      <c r="C61" s="96" t="str">
        <f t="shared" si="19"/>
        <v>Hea 06</v>
      </c>
      <c r="D61" s="163" t="s">
        <v>695</v>
      </c>
      <c r="E61" s="1107" t="s">
        <v>617</v>
      </c>
      <c r="F61" s="775">
        <v>1</v>
      </c>
      <c r="G61" s="775">
        <v>1</v>
      </c>
      <c r="H61" s="775">
        <v>1</v>
      </c>
      <c r="I61" s="775">
        <v>1</v>
      </c>
      <c r="J61" s="775">
        <v>1</v>
      </c>
      <c r="K61" s="775">
        <v>1</v>
      </c>
      <c r="L61" s="775">
        <v>1</v>
      </c>
      <c r="M61" s="775">
        <v>1</v>
      </c>
      <c r="N61" s="775">
        <v>1</v>
      </c>
      <c r="O61" s="775">
        <v>1</v>
      </c>
      <c r="P61" s="775">
        <v>1</v>
      </c>
      <c r="Q61" s="775">
        <v>1</v>
      </c>
      <c r="R61" s="775">
        <v>1</v>
      </c>
      <c r="S61" s="795"/>
      <c r="T61" s="212">
        <f t="shared" si="107"/>
        <v>1</v>
      </c>
      <c r="U61" s="166"/>
      <c r="V61" s="167"/>
      <c r="W61" s="167"/>
      <c r="X61" s="168"/>
      <c r="Y61" s="169">
        <f>IF(OR($Y$4=$Y$5,$Y$4=$Y$6),T61,0)</f>
        <v>0</v>
      </c>
      <c r="Z61" s="1158">
        <f>VLOOKUP(B61,'Manuell filtrering og justering'!$A$7:$H$107,'Manuell filtrering og justering'!$H$1,FALSE)</f>
        <v>1</v>
      </c>
      <c r="AA61" s="169">
        <f t="shared" si="109"/>
        <v>0</v>
      </c>
      <c r="AB61" s="170">
        <f>IF($AC$5='Manuell filtrering og justering'!$J$2,Z61,(T61-AA61))</f>
        <v>1</v>
      </c>
      <c r="AD61" s="171">
        <f t="shared" si="69"/>
        <v>8.4210526315789472E-3</v>
      </c>
      <c r="AE61" s="171">
        <f t="shared" si="87"/>
        <v>0</v>
      </c>
      <c r="AF61" s="171">
        <f t="shared" si="88"/>
        <v>0</v>
      </c>
      <c r="AG61" s="171">
        <f t="shared" si="89"/>
        <v>0</v>
      </c>
      <c r="AI61" s="172">
        <f>IF(VLOOKUP(E61,'Pre-Assessment Estimator'!$E$11:$Z$228,'Pre-Assessment Estimator'!$G$2,FALSE)&gt;AB61,AB61,VLOOKUP(E61,'Pre-Assessment Estimator'!$E$11:$Z$228,'Pre-Assessment Estimator'!$G$2,FALSE))</f>
        <v>0</v>
      </c>
      <c r="AJ61" s="172">
        <f>IF(VLOOKUP(E61,'Pre-Assessment Estimator'!$E$11:$Z$228,'Pre-Assessment Estimator'!$N$2,FALSE)&gt;AB61,AB61,VLOOKUP(E61,'Pre-Assessment Estimator'!$E$11:$Z$228,'Pre-Assessment Estimator'!$N$2,FALSE))</f>
        <v>0</v>
      </c>
      <c r="AK61" s="172">
        <f>IF(VLOOKUP(E61,'Pre-Assessment Estimator'!$E$11:$Z$228,'Pre-Assessment Estimator'!$U$2,FALSE)&gt;AB61,AB61,VLOOKUP(E61,'Pre-Assessment Estimator'!$E$11:$Z$228,'Pre-Assessment Estimator'!$U$2,FALSE))</f>
        <v>0</v>
      </c>
      <c r="AM61" s="292"/>
      <c r="AN61" s="293"/>
      <c r="AO61" s="293"/>
      <c r="AP61" s="293"/>
      <c r="AQ61" s="294"/>
      <c r="AS61" s="292"/>
      <c r="AT61" s="293"/>
      <c r="AU61" s="293"/>
      <c r="AV61" s="293"/>
      <c r="AW61" s="294"/>
      <c r="AY61" s="188"/>
      <c r="AZ61" s="189"/>
      <c r="BA61" s="189"/>
      <c r="BB61" s="189"/>
      <c r="BC61" s="190"/>
      <c r="BD61" s="687">
        <f t="shared" si="95"/>
        <v>9</v>
      </c>
      <c r="BE61" s="164" t="str">
        <f t="shared" si="71"/>
        <v>N/A</v>
      </c>
      <c r="BF61" s="185"/>
      <c r="BG61" s="182">
        <f t="shared" si="96"/>
        <v>9</v>
      </c>
      <c r="BH61" s="164" t="str">
        <f t="shared" si="73"/>
        <v>N/A</v>
      </c>
      <c r="BI61" s="185"/>
      <c r="BJ61" s="182">
        <f t="shared" si="97"/>
        <v>9</v>
      </c>
      <c r="BK61" s="164" t="str">
        <f t="shared" si="74"/>
        <v>N/A</v>
      </c>
      <c r="BL61" s="185"/>
      <c r="BO61" s="167"/>
      <c r="BP61" s="167"/>
      <c r="BQ61" s="167" t="str">
        <f t="shared" si="15"/>
        <v/>
      </c>
      <c r="BR61" s="167">
        <f t="shared" si="55"/>
        <v>9</v>
      </c>
      <c r="BS61" s="167">
        <f t="shared" si="56"/>
        <v>9</v>
      </c>
      <c r="BT61" s="167">
        <f t="shared" si="57"/>
        <v>9</v>
      </c>
      <c r="BW61" s="167"/>
      <c r="BX61" s="167"/>
      <c r="BY61" s="167"/>
      <c r="BZ61" s="167"/>
      <c r="CA61" s="167"/>
      <c r="CB61" s="167"/>
    </row>
    <row r="62" spans="1:85" x14ac:dyDescent="0.25">
      <c r="A62" s="96">
        <v>54</v>
      </c>
      <c r="D62" s="701" t="s">
        <v>122</v>
      </c>
      <c r="E62" s="700"/>
      <c r="F62" s="935"/>
      <c r="G62" s="935"/>
      <c r="H62" s="935"/>
      <c r="I62" s="935"/>
      <c r="J62" s="935"/>
      <c r="K62" s="935"/>
      <c r="L62" s="935"/>
      <c r="M62" s="935"/>
      <c r="N62" s="935"/>
      <c r="O62" s="935"/>
      <c r="P62" s="935"/>
      <c r="Q62" s="935"/>
      <c r="R62" s="935"/>
      <c r="T62" s="962"/>
      <c r="U62" s="701"/>
      <c r="V62" s="700"/>
      <c r="W62" s="700"/>
      <c r="X62" s="955"/>
      <c r="Y62" s="956"/>
      <c r="Z62" s="1158"/>
      <c r="AA62" s="956"/>
      <c r="AB62" s="957"/>
      <c r="AD62" s="171">
        <f t="shared" si="69"/>
        <v>0</v>
      </c>
      <c r="AE62" s="960"/>
      <c r="AF62" s="960"/>
      <c r="AG62" s="960"/>
      <c r="AI62" s="720"/>
      <c r="AJ62" s="720"/>
      <c r="AK62" s="720"/>
      <c r="AM62" s="292"/>
      <c r="AN62" s="293"/>
      <c r="AO62" s="293"/>
      <c r="AP62" s="293"/>
      <c r="AQ62" s="294"/>
      <c r="AS62" s="292"/>
      <c r="AT62" s="293"/>
      <c r="AU62" s="293"/>
      <c r="AV62" s="293"/>
      <c r="AW62" s="294"/>
      <c r="AY62" s="188"/>
      <c r="AZ62" s="189"/>
      <c r="BA62" s="189"/>
      <c r="BB62" s="189"/>
      <c r="BC62" s="190"/>
      <c r="BD62" s="687">
        <f t="shared" si="95"/>
        <v>9</v>
      </c>
      <c r="BE62" s="164" t="str">
        <f t="shared" si="71"/>
        <v>N/A</v>
      </c>
      <c r="BF62" s="185"/>
      <c r="BG62" s="182">
        <f t="shared" si="96"/>
        <v>9</v>
      </c>
      <c r="BH62" s="164" t="str">
        <f t="shared" si="73"/>
        <v>N/A</v>
      </c>
      <c r="BI62" s="185"/>
      <c r="BJ62" s="182">
        <f t="shared" si="97"/>
        <v>9</v>
      </c>
      <c r="BK62" s="164" t="str">
        <f t="shared" si="74"/>
        <v>N/A</v>
      </c>
      <c r="BL62" s="185"/>
      <c r="BO62" s="189"/>
      <c r="BP62" s="167"/>
      <c r="BQ62" s="167" t="str">
        <f t="shared" si="15"/>
        <v/>
      </c>
      <c r="BR62" s="167">
        <f t="shared" si="55"/>
        <v>9</v>
      </c>
      <c r="BS62" s="167">
        <f t="shared" si="56"/>
        <v>9</v>
      </c>
      <c r="BT62" s="167">
        <f t="shared" si="57"/>
        <v>9</v>
      </c>
      <c r="BW62" s="167" t="str">
        <f>D62</f>
        <v>Hea 07</v>
      </c>
      <c r="BX62" s="167" t="str">
        <f>IFERROR(VLOOKUP($E62,'Pre-Assessment Estimator'!$E$11:$AB$228,'Pre-Assessment Estimator'!AB$2,FALSE),"")</f>
        <v/>
      </c>
      <c r="BY62" s="167" t="str">
        <f>IFERROR(VLOOKUP($E62,'Pre-Assessment Estimator'!$E$11:$AI$228,'Pre-Assessment Estimator'!AI$2,FALSE),"")</f>
        <v/>
      </c>
      <c r="BZ62" s="167" t="str">
        <f>IFERROR(VLOOKUP($BX62,$E$294:$H$327,F$292,FALSE),"")</f>
        <v/>
      </c>
      <c r="CA62" s="167" t="str">
        <f>IFERROR(VLOOKUP($BX62,$E$294:$H$327,G$292,FALSE),"")</f>
        <v/>
      </c>
      <c r="CB62" s="167"/>
      <c r="CC62" s="96" t="str">
        <f>IFERROR(VLOOKUP($BX62,$E$294:$H$327,I$292,FALSE),"")</f>
        <v/>
      </c>
    </row>
    <row r="63" spans="1:85" x14ac:dyDescent="0.25">
      <c r="A63" s="96">
        <v>55</v>
      </c>
      <c r="B63" s="137" t="str">
        <f>D63</f>
        <v>Hea 08</v>
      </c>
      <c r="C63" s="137" t="str">
        <f>B63</f>
        <v>Hea 08</v>
      </c>
      <c r="D63" s="834" t="s">
        <v>123</v>
      </c>
      <c r="E63" s="832" t="s">
        <v>115</v>
      </c>
      <c r="F63" s="933">
        <f t="shared" ref="F63:R63" si="121">SUM(F64:F65)</f>
        <v>0</v>
      </c>
      <c r="G63" s="933">
        <f t="shared" si="121"/>
        <v>0</v>
      </c>
      <c r="H63" s="933">
        <f t="shared" si="121"/>
        <v>1</v>
      </c>
      <c r="I63" s="933">
        <f t="shared" si="121"/>
        <v>0</v>
      </c>
      <c r="J63" s="933">
        <f t="shared" si="121"/>
        <v>0</v>
      </c>
      <c r="K63" s="933">
        <f t="shared" si="121"/>
        <v>0</v>
      </c>
      <c r="L63" s="933">
        <f t="shared" si="121"/>
        <v>0</v>
      </c>
      <c r="M63" s="933">
        <f t="shared" si="121"/>
        <v>0</v>
      </c>
      <c r="N63" s="933">
        <f t="shared" si="121"/>
        <v>0</v>
      </c>
      <c r="O63" s="933">
        <f t="shared" si="121"/>
        <v>0</v>
      </c>
      <c r="P63" s="933">
        <f t="shared" si="121"/>
        <v>0</v>
      </c>
      <c r="Q63" s="933">
        <f t="shared" ref="Q63" si="122">SUM(Q64:Q65)</f>
        <v>0</v>
      </c>
      <c r="R63" s="933">
        <f t="shared" si="121"/>
        <v>0</v>
      </c>
      <c r="T63" s="961">
        <f>HLOOKUP($E$6,$F$9:$R$231,$A63,FALSE)</f>
        <v>0</v>
      </c>
      <c r="U63" s="222"/>
      <c r="V63" s="230"/>
      <c r="W63" s="230"/>
      <c r="X63" s="1098">
        <f>'Manuell filtrering og justering'!E24</f>
        <v>0</v>
      </c>
      <c r="Y63" s="963"/>
      <c r="Z63" s="1177">
        <f t="shared" ref="Z63" si="123">SUM(Z64:Z65)</f>
        <v>0</v>
      </c>
      <c r="AA63" s="963">
        <f>IF(SUM(U63:Y63)&gt;T63,T63,SUM(U63:Y63))</f>
        <v>0</v>
      </c>
      <c r="AB63" s="1066">
        <f>SUM(AB64)</f>
        <v>0</v>
      </c>
      <c r="AD63" s="171">
        <f t="shared" si="69"/>
        <v>0</v>
      </c>
      <c r="AE63" s="921">
        <f>SUM(AE64)</f>
        <v>0</v>
      </c>
      <c r="AF63" s="921">
        <f t="shared" ref="AF63:AG63" si="124">SUM(AF64)</f>
        <v>0</v>
      </c>
      <c r="AG63" s="921">
        <f t="shared" si="124"/>
        <v>0</v>
      </c>
      <c r="AI63" s="958">
        <f t="shared" ref="AI63:AK63" si="125">SUM(AI64:AI65)</f>
        <v>0</v>
      </c>
      <c r="AJ63" s="958">
        <f t="shared" si="125"/>
        <v>0</v>
      </c>
      <c r="AK63" s="958">
        <f t="shared" si="125"/>
        <v>0</v>
      </c>
      <c r="AM63" s="291"/>
      <c r="AN63" s="181"/>
      <c r="AO63" s="181"/>
      <c r="AP63" s="181"/>
      <c r="AQ63" s="186"/>
      <c r="AS63" s="291"/>
      <c r="AT63" s="181"/>
      <c r="AU63" s="181"/>
      <c r="AV63" s="181"/>
      <c r="AW63" s="294"/>
      <c r="AY63" s="182"/>
      <c r="AZ63" s="183"/>
      <c r="BA63" s="183"/>
      <c r="BB63" s="183"/>
      <c r="BC63" s="187"/>
      <c r="BD63" s="687">
        <f t="shared" si="95"/>
        <v>9</v>
      </c>
      <c r="BE63" s="164" t="str">
        <f t="shared" si="71"/>
        <v>N/A</v>
      </c>
      <c r="BF63" s="185"/>
      <c r="BG63" s="182">
        <f t="shared" si="96"/>
        <v>9</v>
      </c>
      <c r="BH63" s="164" t="str">
        <f t="shared" si="73"/>
        <v>N/A</v>
      </c>
      <c r="BI63" s="185"/>
      <c r="BJ63" s="182">
        <f t="shared" si="97"/>
        <v>9</v>
      </c>
      <c r="BK63" s="164" t="str">
        <f t="shared" si="74"/>
        <v>N/A</v>
      </c>
      <c r="BL63" s="185"/>
      <c r="BO63" s="1144"/>
      <c r="BP63" s="167"/>
      <c r="BQ63" s="167" t="str">
        <f t="shared" si="15"/>
        <v/>
      </c>
      <c r="BR63" s="167">
        <f t="shared" si="55"/>
        <v>9</v>
      </c>
      <c r="BS63" s="167">
        <f t="shared" si="56"/>
        <v>9</v>
      </c>
      <c r="BT63" s="167">
        <f t="shared" si="57"/>
        <v>9</v>
      </c>
      <c r="BW63" s="167" t="str">
        <f>D63</f>
        <v>Hea 08</v>
      </c>
      <c r="BX63" s="167" t="str">
        <f>IFERROR(VLOOKUP($E63,'Pre-Assessment Estimator'!$E$11:$AB$228,'Pre-Assessment Estimator'!AB$2,FALSE),"")</f>
        <v>N/A</v>
      </c>
      <c r="BY63" s="167">
        <f>IFERROR(VLOOKUP($E63,'Pre-Assessment Estimator'!$E$11:$AI$228,'Pre-Assessment Estimator'!AI$2,FALSE),"")</f>
        <v>0</v>
      </c>
      <c r="BZ63" s="167">
        <f>IFERROR(VLOOKUP($BX63,$E$294:$H$327,F$292,FALSE),"")</f>
        <v>1</v>
      </c>
      <c r="CA63" s="167">
        <f>IFERROR(VLOOKUP($BX63,$E$294:$H$327,G$292,FALSE),"")</f>
        <v>0</v>
      </c>
      <c r="CB63" s="167"/>
      <c r="CC63" s="96" t="str">
        <f>IFERROR(VLOOKUP($BX63,$E$294:$H$327,I$292,FALSE),"")</f>
        <v/>
      </c>
    </row>
    <row r="64" spans="1:85" x14ac:dyDescent="0.25">
      <c r="A64" s="96">
        <v>56</v>
      </c>
      <c r="B64" s="96" t="str">
        <f>$D$63&amp;D64</f>
        <v>Hea 08a</v>
      </c>
      <c r="C64" s="96" t="str">
        <f t="shared" si="19"/>
        <v>Hea 08</v>
      </c>
      <c r="D64" s="192" t="s">
        <v>692</v>
      </c>
      <c r="E64" s="1107" t="s">
        <v>618</v>
      </c>
      <c r="F64" s="941">
        <v>0</v>
      </c>
      <c r="G64" s="941">
        <v>0</v>
      </c>
      <c r="H64" s="941">
        <v>1</v>
      </c>
      <c r="I64" s="941">
        <v>0</v>
      </c>
      <c r="J64" s="941">
        <v>0</v>
      </c>
      <c r="K64" s="941">
        <v>0</v>
      </c>
      <c r="L64" s="941">
        <v>0</v>
      </c>
      <c r="M64" s="941">
        <v>0</v>
      </c>
      <c r="N64" s="941">
        <v>0</v>
      </c>
      <c r="O64" s="941">
        <v>0</v>
      </c>
      <c r="P64" s="941">
        <v>0</v>
      </c>
      <c r="Q64" s="941">
        <v>0</v>
      </c>
      <c r="R64" s="941">
        <v>0</v>
      </c>
      <c r="T64" s="212">
        <f>HLOOKUP($E$6,$F$9:$R$231,$A64,FALSE)</f>
        <v>0</v>
      </c>
      <c r="U64" s="166"/>
      <c r="V64" s="167"/>
      <c r="W64" s="167"/>
      <c r="X64" s="168"/>
      <c r="Y64" s="169"/>
      <c r="Z64" s="1158">
        <f>VLOOKUP(B64,'Manuell filtrering og justering'!$A$7:$H$107,'Manuell filtrering og justering'!$H$1,FALSE)</f>
        <v>0</v>
      </c>
      <c r="AA64" s="169">
        <f>IF(SUM(U64:Y64)&gt;T64,T64,SUM(U64:Y64))</f>
        <v>0</v>
      </c>
      <c r="AB64" s="170">
        <f>IF($AC$5='Manuell filtrering og justering'!$J$2,Z64,(T64-AA64))</f>
        <v>0</v>
      </c>
      <c r="AD64" s="171">
        <f t="shared" si="69"/>
        <v>0</v>
      </c>
      <c r="AE64" s="171">
        <f t="shared" si="87"/>
        <v>0</v>
      </c>
      <c r="AF64" s="171">
        <f t="shared" si="88"/>
        <v>0</v>
      </c>
      <c r="AG64" s="171">
        <f t="shared" si="89"/>
        <v>0</v>
      </c>
      <c r="AI64" s="172">
        <f>IF(VLOOKUP(E64,'Pre-Assessment Estimator'!$E$11:$Z$228,'Pre-Assessment Estimator'!$G$2,FALSE)&gt;AB64,AB64,VLOOKUP(E64,'Pre-Assessment Estimator'!$E$11:$Z$228,'Pre-Assessment Estimator'!$G$2,FALSE))</f>
        <v>0</v>
      </c>
      <c r="AJ64" s="172">
        <f>IF(VLOOKUP(E64,'Pre-Assessment Estimator'!$E$11:$Z$228,'Pre-Assessment Estimator'!$N$2,FALSE)&gt;AB64,AB64,VLOOKUP(E64,'Pre-Assessment Estimator'!$E$11:$Z$228,'Pre-Assessment Estimator'!$N$2,FALSE))</f>
        <v>0</v>
      </c>
      <c r="AK64" s="172">
        <f>IF(VLOOKUP(E64,'Pre-Assessment Estimator'!$E$11:$Z$228,'Pre-Assessment Estimator'!$U$2,FALSE)&gt;AB64,AB64,VLOOKUP(E64,'Pre-Assessment Estimator'!$E$11:$Z$228,'Pre-Assessment Estimator'!$U$2,FALSE))</f>
        <v>0</v>
      </c>
      <c r="AM64" s="840"/>
      <c r="AN64" s="841"/>
      <c r="AO64" s="841"/>
      <c r="AP64" s="841"/>
      <c r="AQ64" s="842"/>
      <c r="AS64" s="840"/>
      <c r="AT64" s="841"/>
      <c r="AU64" s="841"/>
      <c r="AV64" s="841"/>
      <c r="AW64" s="843"/>
      <c r="AY64" s="844"/>
      <c r="AZ64" s="845"/>
      <c r="BA64" s="845"/>
      <c r="BB64" s="845"/>
      <c r="BC64" s="846"/>
      <c r="BD64" s="687">
        <f t="shared" si="95"/>
        <v>9</v>
      </c>
      <c r="BE64" s="164" t="str">
        <f t="shared" si="71"/>
        <v>N/A</v>
      </c>
      <c r="BF64" s="185"/>
      <c r="BG64" s="182">
        <f t="shared" si="96"/>
        <v>9</v>
      </c>
      <c r="BH64" s="164" t="str">
        <f t="shared" si="73"/>
        <v>N/A</v>
      </c>
      <c r="BI64" s="185"/>
      <c r="BJ64" s="182">
        <f t="shared" si="97"/>
        <v>9</v>
      </c>
      <c r="BK64" s="164" t="str">
        <f t="shared" si="74"/>
        <v>N/A</v>
      </c>
      <c r="BL64" s="847"/>
      <c r="BO64" s="1144"/>
      <c r="BP64" s="167"/>
      <c r="BQ64" s="167" t="str">
        <f t="shared" si="15"/>
        <v/>
      </c>
      <c r="BR64" s="167">
        <f t="shared" si="55"/>
        <v>9</v>
      </c>
      <c r="BS64" s="167">
        <f t="shared" si="56"/>
        <v>9</v>
      </c>
      <c r="BT64" s="167">
        <f t="shared" si="57"/>
        <v>9</v>
      </c>
      <c r="BW64" s="193"/>
      <c r="BX64" s="193"/>
      <c r="BY64" s="193"/>
      <c r="BZ64" s="193"/>
      <c r="CA64" s="193"/>
      <c r="CB64" s="193"/>
    </row>
    <row r="65" spans="1:87" ht="15.75" thickBot="1" x14ac:dyDescent="0.3">
      <c r="A65" s="96">
        <v>57</v>
      </c>
      <c r="D65" s="703" t="s">
        <v>124</v>
      </c>
      <c r="E65" s="704"/>
      <c r="F65" s="936"/>
      <c r="G65" s="936"/>
      <c r="H65" s="936"/>
      <c r="I65" s="936"/>
      <c r="J65" s="936"/>
      <c r="K65" s="936"/>
      <c r="L65" s="936"/>
      <c r="M65" s="936"/>
      <c r="N65" s="936"/>
      <c r="O65" s="936"/>
      <c r="P65" s="936"/>
      <c r="Q65" s="936"/>
      <c r="R65" s="936"/>
      <c r="T65" s="962"/>
      <c r="U65" s="701"/>
      <c r="V65" s="700"/>
      <c r="W65" s="700"/>
      <c r="X65" s="955"/>
      <c r="Y65" s="1179"/>
      <c r="Z65" s="1158"/>
      <c r="AA65" s="956"/>
      <c r="AB65" s="957"/>
      <c r="AD65" s="171">
        <f t="shared" si="69"/>
        <v>0</v>
      </c>
      <c r="AE65" s="960"/>
      <c r="AF65" s="960"/>
      <c r="AG65" s="960"/>
      <c r="AI65" s="720"/>
      <c r="AJ65" s="720"/>
      <c r="AK65" s="720"/>
      <c r="AM65" s="301"/>
      <c r="AN65" s="302"/>
      <c r="AO65" s="302"/>
      <c r="AP65" s="302"/>
      <c r="AQ65" s="303"/>
      <c r="AS65" s="301"/>
      <c r="AT65" s="302"/>
      <c r="AU65" s="302"/>
      <c r="AV65" s="302"/>
      <c r="AW65" s="303"/>
      <c r="AY65" s="198"/>
      <c r="AZ65" s="224"/>
      <c r="BA65" s="224"/>
      <c r="BB65" s="224"/>
      <c r="BC65" s="225"/>
      <c r="BD65" s="198">
        <f t="shared" si="60"/>
        <v>9</v>
      </c>
      <c r="BE65" s="164" t="str">
        <f t="shared" si="71"/>
        <v>N/A</v>
      </c>
      <c r="BF65" s="200"/>
      <c r="BG65" s="198">
        <f t="shared" si="72"/>
        <v>9</v>
      </c>
      <c r="BH65" s="164" t="str">
        <f t="shared" si="73"/>
        <v>N/A</v>
      </c>
      <c r="BI65" s="200"/>
      <c r="BJ65" s="198">
        <f t="shared" si="28"/>
        <v>9</v>
      </c>
      <c r="BK65" s="164" t="str">
        <f t="shared" si="74"/>
        <v>N/A</v>
      </c>
      <c r="BL65" s="200"/>
      <c r="BO65" s="1145"/>
      <c r="BP65" s="167"/>
      <c r="BQ65" s="167" t="str">
        <f t="shared" si="15"/>
        <v/>
      </c>
      <c r="BR65" s="167">
        <f t="shared" si="55"/>
        <v>9</v>
      </c>
      <c r="BS65" s="167">
        <f t="shared" si="56"/>
        <v>9</v>
      </c>
      <c r="BT65" s="167">
        <f t="shared" si="57"/>
        <v>9</v>
      </c>
      <c r="BW65" s="193" t="str">
        <f>D65</f>
        <v>Hea 09</v>
      </c>
      <c r="BX65" s="193" t="str">
        <f>IFERROR(VLOOKUP($E65,'Pre-Assessment Estimator'!$E$11:$AB$228,'Pre-Assessment Estimator'!AB$2,FALSE),"")</f>
        <v/>
      </c>
      <c r="BY65" s="193" t="str">
        <f>IFERROR(VLOOKUP($E65,'Pre-Assessment Estimator'!$E$11:$AI$228,'Pre-Assessment Estimator'!AI$2,FALSE),"")</f>
        <v/>
      </c>
      <c r="BZ65" s="193" t="str">
        <f t="shared" ref="BZ65:CA69" si="126">IFERROR(VLOOKUP($BX65,$E$294:$H$327,F$292,FALSE),"")</f>
        <v/>
      </c>
      <c r="CA65" s="193" t="str">
        <f t="shared" si="126"/>
        <v/>
      </c>
      <c r="CB65" s="193"/>
      <c r="CC65" s="96" t="str">
        <f>IFERROR(VLOOKUP($BX65,$E$294:$H$327,I$292,FALSE),"")</f>
        <v/>
      </c>
    </row>
    <row r="66" spans="1:87" ht="15.75" thickBot="1" x14ac:dyDescent="0.3">
      <c r="A66" s="96">
        <v>58</v>
      </c>
      <c r="B66" s="96" t="s">
        <v>882</v>
      </c>
      <c r="D66" s="201"/>
      <c r="E66" s="202" t="s">
        <v>213</v>
      </c>
      <c r="F66" s="773">
        <f>F39+F46+F51+F56+F59+F63</f>
        <v>19</v>
      </c>
      <c r="G66" s="773">
        <f t="shared" ref="G66:R66" si="127">G39+G46+G51+G56+G59+G63</f>
        <v>19</v>
      </c>
      <c r="H66" s="773">
        <f t="shared" si="127"/>
        <v>20</v>
      </c>
      <c r="I66" s="773">
        <f t="shared" si="127"/>
        <v>19</v>
      </c>
      <c r="J66" s="773">
        <f t="shared" si="127"/>
        <v>19</v>
      </c>
      <c r="K66" s="773">
        <f t="shared" si="127"/>
        <v>19</v>
      </c>
      <c r="L66" s="773">
        <f t="shared" si="127"/>
        <v>19</v>
      </c>
      <c r="M66" s="773">
        <f t="shared" si="127"/>
        <v>21</v>
      </c>
      <c r="N66" s="773">
        <f t="shared" si="127"/>
        <v>20</v>
      </c>
      <c r="O66" s="773">
        <f t="shared" si="127"/>
        <v>19</v>
      </c>
      <c r="P66" s="773">
        <f t="shared" si="127"/>
        <v>19</v>
      </c>
      <c r="Q66" s="773">
        <f t="shared" ref="Q66" si="128">Q39+Q46+Q51+Q56+Q59+Q63</f>
        <v>19</v>
      </c>
      <c r="R66" s="773">
        <f t="shared" si="127"/>
        <v>19</v>
      </c>
      <c r="T66" s="226">
        <f>HLOOKUP($E$6,$F$9:$R$231,$A66,FALSE)</f>
        <v>19</v>
      </c>
      <c r="U66" s="204"/>
      <c r="V66" s="205"/>
      <c r="W66" s="205"/>
      <c r="X66" s="205"/>
      <c r="Y66" s="1178"/>
      <c r="Z66" s="206"/>
      <c r="AA66" s="773">
        <f t="shared" ref="AA66:AG66" si="129">AA39+AA46+AA51+AA56+AA59+AA63</f>
        <v>0</v>
      </c>
      <c r="AB66" s="773">
        <f t="shared" si="129"/>
        <v>19</v>
      </c>
      <c r="AD66" s="208">
        <f t="shared" si="129"/>
        <v>0.16000000000000003</v>
      </c>
      <c r="AE66" s="208">
        <f t="shared" si="129"/>
        <v>0</v>
      </c>
      <c r="AF66" s="208">
        <f t="shared" si="129"/>
        <v>0</v>
      </c>
      <c r="AG66" s="208">
        <f t="shared" si="129"/>
        <v>0</v>
      </c>
      <c r="AI66" s="78">
        <f t="shared" ref="AI66:AK66" si="130">AI39+AI46+AI51+AI56+AI59+AI63</f>
        <v>0</v>
      </c>
      <c r="AJ66" s="78">
        <f t="shared" si="130"/>
        <v>0</v>
      </c>
      <c r="AK66" s="78">
        <f t="shared" si="130"/>
        <v>0</v>
      </c>
      <c r="AM66" s="139"/>
      <c r="AN66" s="139"/>
      <c r="AO66" s="139"/>
      <c r="AP66" s="139"/>
      <c r="AQ66" s="139"/>
      <c r="AS66" s="139"/>
      <c r="AT66" s="139"/>
      <c r="AU66" s="139"/>
      <c r="AV66" s="139"/>
      <c r="AW66" s="139"/>
      <c r="AY66" s="97"/>
      <c r="AZ66" s="209"/>
      <c r="BA66" s="97"/>
      <c r="BB66" s="97"/>
      <c r="BC66" s="97"/>
      <c r="BW66" s="202"/>
      <c r="BX66" s="202" t="str">
        <f>IFERROR(VLOOKUP($E66,'Pre-Assessment Estimator'!$E$11:$AB$228,'Pre-Assessment Estimator'!AB$2,FALSE),"")</f>
        <v/>
      </c>
      <c r="BY66" s="202" t="str">
        <f>IFERROR(VLOOKUP($E66,'Pre-Assessment Estimator'!$E$11:$AI$228,'Pre-Assessment Estimator'!AI$2,FALSE),"")</f>
        <v/>
      </c>
      <c r="BZ66" s="202" t="str">
        <f t="shared" si="126"/>
        <v/>
      </c>
      <c r="CA66" s="202" t="str">
        <f t="shared" si="126"/>
        <v/>
      </c>
      <c r="CB66" s="202"/>
      <c r="CC66" s="96" t="str">
        <f>IFERROR(VLOOKUP($BX66,$E$294:$H$327,I$292,FALSE),"")</f>
        <v/>
      </c>
    </row>
    <row r="67" spans="1:87" ht="15.75" thickBot="1" x14ac:dyDescent="0.3">
      <c r="A67" s="96">
        <v>59</v>
      </c>
      <c r="AI67" s="3"/>
      <c r="AJ67" s="3"/>
      <c r="AK67" s="3"/>
      <c r="AM67" s="139"/>
      <c r="AN67" s="139"/>
      <c r="AO67" s="139"/>
      <c r="AP67" s="139"/>
      <c r="AQ67" s="139"/>
      <c r="AS67" s="139"/>
      <c r="AT67" s="139"/>
      <c r="AU67" s="139"/>
      <c r="AV67" s="139"/>
      <c r="AW67" s="139"/>
      <c r="AY67" s="97"/>
      <c r="AZ67" s="97"/>
      <c r="BA67" s="97"/>
      <c r="BB67" s="97"/>
      <c r="BC67" s="97"/>
      <c r="BX67" s="96" t="str">
        <f>IFERROR(VLOOKUP($E67,'Pre-Assessment Estimator'!$E$11:$AB$228,'Pre-Assessment Estimator'!AB$2,FALSE),"")</f>
        <v/>
      </c>
      <c r="BY67" s="96" t="str">
        <f>IFERROR(VLOOKUP($E67,'Pre-Assessment Estimator'!$E$11:$AI$228,'Pre-Assessment Estimator'!AI$2,FALSE),"")</f>
        <v/>
      </c>
      <c r="BZ67" s="96" t="str">
        <f t="shared" si="126"/>
        <v/>
      </c>
      <c r="CA67" s="96" t="str">
        <f t="shared" si="126"/>
        <v/>
      </c>
      <c r="CC67" s="96" t="str">
        <f>IFERROR(VLOOKUP($BX67,$E$294:$H$327,I$292,FALSE),"")</f>
        <v/>
      </c>
    </row>
    <row r="68" spans="1:87" ht="60.75" thickBot="1" x14ac:dyDescent="0.3">
      <c r="A68" s="96">
        <v>60</v>
      </c>
      <c r="D68" s="145"/>
      <c r="E68" s="146" t="s">
        <v>65</v>
      </c>
      <c r="F68" s="1241" t="str">
        <f>$F$9</f>
        <v>Office</v>
      </c>
      <c r="G68" s="1241" t="str">
        <f>$G$9</f>
        <v>Retail</v>
      </c>
      <c r="H68" s="1245" t="str">
        <f>$H$9</f>
        <v>Residential</v>
      </c>
      <c r="I68" s="1241" t="str">
        <f>$I$9</f>
        <v>Industrial</v>
      </c>
      <c r="J68" s="1243" t="str">
        <f>$J$9</f>
        <v>Healthcare</v>
      </c>
      <c r="K68" s="1243" t="str">
        <f>$K$9</f>
        <v>Prison</v>
      </c>
      <c r="L68" s="1243" t="str">
        <f>$L$9</f>
        <v>Law Court</v>
      </c>
      <c r="M68" s="1247" t="str">
        <f>$M$9</f>
        <v>Residential institution (long term stay)</v>
      </c>
      <c r="N68" s="918" t="str">
        <f>$N$9</f>
        <v>Residential institution (short term stay)</v>
      </c>
      <c r="O68" s="918" t="str">
        <f>$O$9</f>
        <v>Non-residential institution</v>
      </c>
      <c r="P68" s="918" t="str">
        <f>$P$9</f>
        <v>Assembly and leisure</v>
      </c>
      <c r="Q68" s="1243" t="str">
        <f>$Q$9</f>
        <v>Education</v>
      </c>
      <c r="R68" s="857" t="str">
        <f>$R$9</f>
        <v>Other</v>
      </c>
      <c r="T68" s="138" t="str">
        <f>$E$6</f>
        <v>Office</v>
      </c>
      <c r="U68" s="210"/>
      <c r="V68" s="211"/>
      <c r="W68" s="211"/>
      <c r="X68" s="211"/>
      <c r="Y68" s="1165" t="s">
        <v>411</v>
      </c>
      <c r="Z68" s="347" t="s">
        <v>334</v>
      </c>
      <c r="AA68" s="150" t="s">
        <v>213</v>
      </c>
      <c r="AB68" s="59" t="s">
        <v>15</v>
      </c>
      <c r="AI68" s="42"/>
      <c r="AJ68" s="60"/>
      <c r="AK68" s="60"/>
      <c r="AM68" s="139"/>
      <c r="AN68" s="139"/>
      <c r="AO68" s="139"/>
      <c r="AP68" s="139"/>
      <c r="AQ68" s="139"/>
      <c r="AS68" s="139"/>
      <c r="AT68" s="139"/>
      <c r="AU68" s="139"/>
      <c r="AV68" s="139"/>
      <c r="AW68" s="139"/>
      <c r="AY68" s="97"/>
      <c r="AZ68" s="97"/>
      <c r="BA68" s="97"/>
      <c r="BB68" s="97"/>
      <c r="BC68" s="97"/>
      <c r="BO68" s="60"/>
      <c r="BP68" s="60"/>
      <c r="BQ68" s="60"/>
      <c r="BR68" s="60"/>
      <c r="BS68" s="60"/>
      <c r="BT68" s="60"/>
      <c r="BW68" s="146"/>
      <c r="BX68" s="146" t="str">
        <f>E68</f>
        <v>Energy</v>
      </c>
      <c r="BY68" s="146">
        <f>IFERROR(VLOOKUP($E68,'Pre-Assessment Estimator'!$E$11:$AI$228,'Pre-Assessment Estimator'!AI$2,FALSE),"")</f>
        <v>0</v>
      </c>
      <c r="BZ68" s="146" t="str">
        <f t="shared" si="126"/>
        <v/>
      </c>
      <c r="CA68" s="146" t="str">
        <f t="shared" si="126"/>
        <v/>
      </c>
      <c r="CB68" s="146"/>
      <c r="CC68" s="96" t="str">
        <f>IFERROR(VLOOKUP($BX68,$E$294:$H$327,I$292,FALSE),"")</f>
        <v/>
      </c>
    </row>
    <row r="69" spans="1:87" x14ac:dyDescent="0.25">
      <c r="A69" s="96">
        <v>61</v>
      </c>
      <c r="B69" s="137" t="str">
        <f>D69</f>
        <v>Ene 01</v>
      </c>
      <c r="C69" s="137" t="str">
        <f>B69</f>
        <v>Ene 01</v>
      </c>
      <c r="D69" s="833" t="s">
        <v>134</v>
      </c>
      <c r="E69" s="831" t="s">
        <v>127</v>
      </c>
      <c r="F69" s="933">
        <f t="shared" ref="F69:R69" si="131">SUM(F70:F74)</f>
        <v>12</v>
      </c>
      <c r="G69" s="933">
        <f t="shared" si="131"/>
        <v>12</v>
      </c>
      <c r="H69" s="933">
        <f t="shared" si="131"/>
        <v>12</v>
      </c>
      <c r="I69" s="933">
        <f t="shared" si="131"/>
        <v>12</v>
      </c>
      <c r="J69" s="933">
        <f t="shared" si="131"/>
        <v>12</v>
      </c>
      <c r="K69" s="933">
        <f t="shared" si="131"/>
        <v>12</v>
      </c>
      <c r="L69" s="933">
        <f t="shared" si="131"/>
        <v>12</v>
      </c>
      <c r="M69" s="933">
        <f t="shared" si="131"/>
        <v>12</v>
      </c>
      <c r="N69" s="933">
        <f t="shared" si="131"/>
        <v>12</v>
      </c>
      <c r="O69" s="933">
        <f t="shared" si="131"/>
        <v>12</v>
      </c>
      <c r="P69" s="933">
        <f t="shared" si="131"/>
        <v>12</v>
      </c>
      <c r="Q69" s="933">
        <f t="shared" ref="Q69" si="132">SUM(Q70:Q74)</f>
        <v>12</v>
      </c>
      <c r="R69" s="933">
        <f t="shared" si="131"/>
        <v>12</v>
      </c>
      <c r="T69" s="150">
        <f t="shared" ref="T69:T81" si="133">HLOOKUP($E$6,$F$9:$R$231,$A69,FALSE)</f>
        <v>12</v>
      </c>
      <c r="U69" s="222"/>
      <c r="V69" s="230"/>
      <c r="W69" s="230"/>
      <c r="X69" s="230">
        <f>'Manuell filtrering og justering'!E29</f>
        <v>0</v>
      </c>
      <c r="Y69" s="230"/>
      <c r="Z69" s="958">
        <f t="shared" ref="Z69:AB69" si="134">SUM(Z70:Z74)</f>
        <v>24</v>
      </c>
      <c r="AA69" s="963">
        <f t="shared" ref="AA69:AA79" si="135">IF(SUM(U69:Y69)&gt;T69,T69,SUM(U69:Y69))</f>
        <v>0</v>
      </c>
      <c r="AB69" s="1066">
        <f t="shared" si="134"/>
        <v>12</v>
      </c>
      <c r="AD69" s="171">
        <f t="shared" ref="AD69:AD96" si="136">(Ene_Weight/Ene_Credits)*AB69</f>
        <v>6.2222222222222234E-2</v>
      </c>
      <c r="AE69" s="921">
        <f>SUM(AE70:AE74)</f>
        <v>0</v>
      </c>
      <c r="AF69" s="921">
        <f t="shared" ref="AF69:AG69" si="137">SUM(AF70:AF74)</f>
        <v>0</v>
      </c>
      <c r="AG69" s="921">
        <f t="shared" si="137"/>
        <v>0</v>
      </c>
      <c r="AI69" s="958">
        <f t="shared" ref="AI69:AK69" si="138">SUM(AI70:AI74)</f>
        <v>0</v>
      </c>
      <c r="AJ69" s="958">
        <f t="shared" si="138"/>
        <v>0</v>
      </c>
      <c r="AK69" s="958">
        <f t="shared" si="138"/>
        <v>0</v>
      </c>
      <c r="AM69" s="173"/>
      <c r="AN69" s="290"/>
      <c r="AO69" s="290"/>
      <c r="AP69" s="299"/>
      <c r="AQ69" s="300"/>
      <c r="AS69" s="298"/>
      <c r="AT69" s="299"/>
      <c r="AU69" s="299"/>
      <c r="AV69" s="299"/>
      <c r="AW69" s="300"/>
      <c r="AY69" s="174"/>
      <c r="AZ69" s="175"/>
      <c r="BA69" s="175"/>
      <c r="BB69" s="175"/>
      <c r="BC69" s="228"/>
      <c r="BD69" s="174">
        <f t="shared" si="60"/>
        <v>9</v>
      </c>
      <c r="BE69" s="164" t="str">
        <f t="shared" ref="BE69:BE96" si="139">VLOOKUP(BD69,$BO$285:$BT$291,6,FALSE)</f>
        <v>N/A</v>
      </c>
      <c r="BF69" s="178"/>
      <c r="BG69" s="174">
        <f t="shared" ref="BG69:BG96" si="140">IF(BC69=0,9,IF(AJ69&gt;=BC69,5,IF(AJ69&gt;=BB69,4,IF(AJ69&gt;=BA69,3,IF(AJ69&gt;=AZ69,2,IF(AJ69&lt;AY69,0,1))))))</f>
        <v>9</v>
      </c>
      <c r="BH69" s="164" t="str">
        <f t="shared" ref="BH69:BH96" si="141">VLOOKUP(BG69,$BO$285:$BT$291,6,FALSE)</f>
        <v>N/A</v>
      </c>
      <c r="BI69" s="178"/>
      <c r="BJ69" s="174">
        <f t="shared" si="28"/>
        <v>9</v>
      </c>
      <c r="BK69" s="164" t="str">
        <f t="shared" ref="BK69:BK96" si="142">VLOOKUP(BJ69,$BO$285:$BT$291,6,FALSE)</f>
        <v>N/A</v>
      </c>
      <c r="BL69" s="178"/>
      <c r="BO69" s="167"/>
      <c r="BP69" s="167"/>
      <c r="BQ69" s="167" t="str">
        <f t="shared" si="15"/>
        <v/>
      </c>
      <c r="BR69" s="167">
        <f t="shared" si="55"/>
        <v>9</v>
      </c>
      <c r="BS69" s="167">
        <f t="shared" si="56"/>
        <v>9</v>
      </c>
      <c r="BT69" s="167">
        <f t="shared" si="57"/>
        <v>9</v>
      </c>
      <c r="BW69" s="164" t="str">
        <f>D69</f>
        <v>Ene 01</v>
      </c>
      <c r="BX69" s="164" t="str">
        <f>IFERROR(VLOOKUP($E69,'Pre-Assessment Estimator'!$E$11:$AB$228,'Pre-Assessment Estimator'!AB$2,FALSE),"")</f>
        <v>No</v>
      </c>
      <c r="BY69" s="164">
        <f>IFERROR(VLOOKUP($E69,'Pre-Assessment Estimator'!$E$11:$AI$228,'Pre-Assessment Estimator'!AI$2,FALSE),"")</f>
        <v>0</v>
      </c>
      <c r="BZ69" s="164">
        <f t="shared" si="126"/>
        <v>1</v>
      </c>
      <c r="CA69" s="164">
        <f t="shared" si="126"/>
        <v>0</v>
      </c>
      <c r="CB69" s="164"/>
      <c r="CC69" s="96" t="str">
        <f>IFERROR(VLOOKUP($BX69,$E$294:$H$327,I$292,FALSE),"")</f>
        <v/>
      </c>
    </row>
    <row r="70" spans="1:87" x14ac:dyDescent="0.25">
      <c r="A70" s="96">
        <v>62</v>
      </c>
      <c r="B70" s="96" t="str">
        <f t="shared" ref="B70:B74" si="143">$D$69&amp;D70</f>
        <v>Ene 01a</v>
      </c>
      <c r="C70" s="96" t="str">
        <f t="shared" si="19"/>
        <v>Ene 01</v>
      </c>
      <c r="D70" s="163" t="s">
        <v>692</v>
      </c>
      <c r="E70" s="917" t="s">
        <v>619</v>
      </c>
      <c r="F70" s="775">
        <v>2</v>
      </c>
      <c r="G70" s="775">
        <v>2</v>
      </c>
      <c r="H70" s="775">
        <v>2</v>
      </c>
      <c r="I70" s="775">
        <v>2</v>
      </c>
      <c r="J70" s="775">
        <v>2</v>
      </c>
      <c r="K70" s="775">
        <v>2</v>
      </c>
      <c r="L70" s="775">
        <v>2</v>
      </c>
      <c r="M70" s="775">
        <v>2</v>
      </c>
      <c r="N70" s="775">
        <v>2</v>
      </c>
      <c r="O70" s="775">
        <v>2</v>
      </c>
      <c r="P70" s="775">
        <v>2</v>
      </c>
      <c r="Q70" s="775">
        <v>2</v>
      </c>
      <c r="R70" s="775">
        <v>2</v>
      </c>
      <c r="T70" s="221">
        <f t="shared" si="133"/>
        <v>2</v>
      </c>
      <c r="U70" s="166"/>
      <c r="V70" s="167"/>
      <c r="W70" s="167"/>
      <c r="X70" s="167"/>
      <c r="Y70" s="168"/>
      <c r="Z70" s="168">
        <f>VLOOKUP(B70,'Manuell filtrering og justering'!$A$7:$H$107,'Manuell filtrering og justering'!$H$1,FALSE)</f>
        <v>0</v>
      </c>
      <c r="AA70" s="169">
        <f t="shared" si="135"/>
        <v>0</v>
      </c>
      <c r="AB70" s="170">
        <f>IF($AC$5='Manuell filtrering og justering'!$J$2,Z70,(T70-AA70))</f>
        <v>2</v>
      </c>
      <c r="AD70" s="171">
        <f t="shared" si="136"/>
        <v>1.0370370370370372E-2</v>
      </c>
      <c r="AE70" s="171">
        <f t="shared" ref="AE70:AE96" si="144">IF(AB70=0,0,(AD70/AB70)*AI70)</f>
        <v>0</v>
      </c>
      <c r="AF70" s="171">
        <f t="shared" ref="AF70:AF96" si="145">IF(AB70=0,0,(AD70/AB70)*AJ70)</f>
        <v>0</v>
      </c>
      <c r="AG70" s="171">
        <f t="shared" ref="AG70:AG96" si="146">IF(AB70=0,0,(AD70/AB70)*AK70)</f>
        <v>0</v>
      </c>
      <c r="AI70" s="1067">
        <f>IF(OR($AB$52=0,AND($AB$52&gt;0,AI52=$AB$52)),IF(VLOOKUP(E70,'Pre-Assessment Estimator'!$E$11:$Z$228,'Pre-Assessment Estimator'!$G$2,FALSE)&gt;AB70,AB70,VLOOKUP(E70,'Pre-Assessment Estimator'!$E$11:$Z$228,'Pre-Assessment Estimator'!$G$2,FALSE)),0)</f>
        <v>0</v>
      </c>
      <c r="AJ70" s="1067">
        <f>IF(OR($AB$52=0,AND($AB$52&gt;0,AJ52=$AB$52)),IF(VLOOKUP(E70,'Pre-Assessment Estimator'!$E$11:$Z$228,'Pre-Assessment Estimator'!$N$2,FALSE)&gt;AB70,AB70,VLOOKUP(E70,'Pre-Assessment Estimator'!$E$11:$Z$228,'Pre-Assessment Estimator'!$N$2,FALSE)),0)</f>
        <v>0</v>
      </c>
      <c r="AK70" s="1067">
        <f>IF(OR($AB$52=0,AND($AB$52&gt;0,AK52=$AB$52)),IF(VLOOKUP(E70,'Pre-Assessment Estimator'!$E$11:$Z$228,'Pre-Assessment Estimator'!$U$2,FALSE)&gt;AB70,AB70,VLOOKUP(E70,'Pre-Assessment Estimator'!$E$11:$Z$228,'Pre-Assessment Estimator'!$U$2,FALSE)),0)</f>
        <v>0</v>
      </c>
      <c r="AM70" s="826"/>
      <c r="AN70" s="827"/>
      <c r="AO70" s="827"/>
      <c r="AP70" s="836"/>
      <c r="AQ70" s="837"/>
      <c r="AS70" s="835"/>
      <c r="AT70" s="836"/>
      <c r="AU70" s="836"/>
      <c r="AV70" s="836"/>
      <c r="AW70" s="837"/>
      <c r="AY70" s="828"/>
      <c r="AZ70" s="829"/>
      <c r="BA70" s="829"/>
      <c r="BB70" s="829"/>
      <c r="BC70" s="848"/>
      <c r="BD70" s="182">
        <f t="shared" ref="BD70:BD74" si="147">IF(BC70=0,9,IF((AI70-CG70)&gt;=BC70,5,IF((AI70-CG70)&gt;=BB70,4,IF((AI70-CG70)&gt;=BA70,3,IF((AI70-CG70)&gt;=AZ70,2,IF((AI70-CG70)&lt;AY70,0,1))))))</f>
        <v>9</v>
      </c>
      <c r="BE70" s="164" t="str">
        <f t="shared" si="139"/>
        <v>N/A</v>
      </c>
      <c r="BF70" s="185"/>
      <c r="BG70" s="182">
        <f t="shared" ref="BG70:BG74" si="148">IF(BC70=0,9,IF((AJ70-CG70)&gt;=BC70,5,IF((AJ70-CG70)&gt;=BB70,4,IF((AJ70-CG70)&gt;=BA70,3,IF((AJ70-CG70)&gt;=AZ70,2,IF((AJ70-CG70)&lt;AY70,0,1))))))</f>
        <v>9</v>
      </c>
      <c r="BH70" s="164" t="str">
        <f t="shared" si="141"/>
        <v>N/A</v>
      </c>
      <c r="BI70" s="185"/>
      <c r="BJ70" s="182">
        <f t="shared" ref="BJ70:BJ74" si="149">IF(BC70=0,9,IF((AK70-CG70)&gt;=BC70,5,IF((AK70-CG70)&gt;=BB70,4,IF((AK70-CG70)&gt;=BA70,3,IF((AK70-CG70)&gt;=AZ70,2,IF((AK70-CG70)&lt;AY70,0,1))))))</f>
        <v>9</v>
      </c>
      <c r="BK70" s="164" t="str">
        <f t="shared" si="142"/>
        <v>N/A</v>
      </c>
      <c r="BL70" s="830"/>
      <c r="BO70" s="167"/>
      <c r="BP70" s="167"/>
      <c r="BQ70" s="167" t="str">
        <f t="shared" si="15"/>
        <v/>
      </c>
      <c r="BR70" s="167">
        <f t="shared" si="55"/>
        <v>9</v>
      </c>
      <c r="BS70" s="167">
        <f t="shared" si="56"/>
        <v>9</v>
      </c>
      <c r="BT70" s="167">
        <f t="shared" si="57"/>
        <v>9</v>
      </c>
      <c r="BW70" s="164"/>
      <c r="BX70" s="164"/>
      <c r="BY70" s="164"/>
      <c r="BZ70" s="164"/>
      <c r="CA70" s="164"/>
      <c r="CB70" s="164"/>
    </row>
    <row r="71" spans="1:87" x14ac:dyDescent="0.25">
      <c r="A71" s="96">
        <v>63</v>
      </c>
      <c r="B71" s="96" t="str">
        <f t="shared" si="143"/>
        <v>Ene 01b</v>
      </c>
      <c r="C71" s="96" t="str">
        <f t="shared" si="19"/>
        <v>Ene 01</v>
      </c>
      <c r="D71" s="163" t="s">
        <v>695</v>
      </c>
      <c r="E71" s="1107" t="s">
        <v>620</v>
      </c>
      <c r="F71" s="775">
        <v>1</v>
      </c>
      <c r="G71" s="775">
        <v>1</v>
      </c>
      <c r="H71" s="775">
        <v>1</v>
      </c>
      <c r="I71" s="775">
        <v>1</v>
      </c>
      <c r="J71" s="775">
        <v>1</v>
      </c>
      <c r="K71" s="775">
        <v>1</v>
      </c>
      <c r="L71" s="775">
        <v>1</v>
      </c>
      <c r="M71" s="775">
        <v>1</v>
      </c>
      <c r="N71" s="775">
        <v>1</v>
      </c>
      <c r="O71" s="775">
        <v>1</v>
      </c>
      <c r="P71" s="775">
        <v>1</v>
      </c>
      <c r="Q71" s="775">
        <v>1</v>
      </c>
      <c r="R71" s="775">
        <v>1</v>
      </c>
      <c r="T71" s="221">
        <f t="shared" si="133"/>
        <v>1</v>
      </c>
      <c r="U71" s="166"/>
      <c r="V71" s="167"/>
      <c r="W71" s="167"/>
      <c r="X71" s="167"/>
      <c r="Y71" s="168"/>
      <c r="Z71" s="168">
        <f>VLOOKUP(B71,'Manuell filtrering og justering'!$A$7:$H$107,'Manuell filtrering og justering'!$H$1,FALSE)</f>
        <v>1</v>
      </c>
      <c r="AA71" s="169">
        <f t="shared" si="135"/>
        <v>0</v>
      </c>
      <c r="AB71" s="170">
        <f>IF($AC$5='Manuell filtrering og justering'!$J$2,Z71,(T71-AA71))</f>
        <v>1</v>
      </c>
      <c r="AD71" s="171">
        <f t="shared" si="136"/>
        <v>5.1851851851851859E-3</v>
      </c>
      <c r="AE71" s="171">
        <f t="shared" si="144"/>
        <v>0</v>
      </c>
      <c r="AF71" s="171">
        <f t="shared" si="145"/>
        <v>0</v>
      </c>
      <c r="AG71" s="171">
        <f t="shared" si="146"/>
        <v>0</v>
      </c>
      <c r="AI71" s="172">
        <f>IF(VLOOKUP(E71,'Pre-Assessment Estimator'!$E$11:$Z$228,'Pre-Assessment Estimator'!$G$2,FALSE)&gt;AB71,AB71,VLOOKUP(E71,'Pre-Assessment Estimator'!$E$11:$Z$228,'Pre-Assessment Estimator'!$G$2,FALSE))</f>
        <v>0</v>
      </c>
      <c r="AJ71" s="172">
        <f>IF(VLOOKUP(E71,'Pre-Assessment Estimator'!$E$11:$Z$228,'Pre-Assessment Estimator'!$N$2,FALSE)&gt;AB71,AB71,VLOOKUP(E71,'Pre-Assessment Estimator'!$E$11:$Z$228,'Pre-Assessment Estimator'!$N$2,FALSE))</f>
        <v>0</v>
      </c>
      <c r="AK71" s="172">
        <f>IF(VLOOKUP(E71,'Pre-Assessment Estimator'!$E$11:$Z$228,'Pre-Assessment Estimator'!$U$2,FALSE)&gt;AB71,AB71,VLOOKUP(E71,'Pre-Assessment Estimator'!$E$11:$Z$228,'Pre-Assessment Estimator'!$U$2,FALSE))</f>
        <v>0</v>
      </c>
      <c r="AM71" s="826"/>
      <c r="AN71" s="827"/>
      <c r="AO71" s="827"/>
      <c r="AP71" s="836"/>
      <c r="AQ71" s="837"/>
      <c r="AS71" s="835"/>
      <c r="AT71" s="836"/>
      <c r="AU71" s="836"/>
      <c r="AV71" s="836"/>
      <c r="AW71" s="837"/>
      <c r="AY71" s="828"/>
      <c r="AZ71" s="829"/>
      <c r="BA71" s="829"/>
      <c r="BB71" s="829"/>
      <c r="BC71" s="848"/>
      <c r="BD71" s="182">
        <f t="shared" si="147"/>
        <v>9</v>
      </c>
      <c r="BE71" s="164" t="str">
        <f t="shared" si="139"/>
        <v>N/A</v>
      </c>
      <c r="BF71" s="185"/>
      <c r="BG71" s="182">
        <f t="shared" si="148"/>
        <v>9</v>
      </c>
      <c r="BH71" s="164" t="str">
        <f t="shared" si="141"/>
        <v>N/A</v>
      </c>
      <c r="BI71" s="185"/>
      <c r="BJ71" s="182">
        <f t="shared" si="149"/>
        <v>9</v>
      </c>
      <c r="BK71" s="164" t="str">
        <f t="shared" si="142"/>
        <v>N/A</v>
      </c>
      <c r="BL71" s="830"/>
      <c r="BO71" s="167"/>
      <c r="BP71" s="167"/>
      <c r="BQ71" s="167" t="str">
        <f t="shared" si="15"/>
        <v/>
      </c>
      <c r="BR71" s="167">
        <f t="shared" si="55"/>
        <v>9</v>
      </c>
      <c r="BS71" s="167">
        <f t="shared" si="56"/>
        <v>9</v>
      </c>
      <c r="BT71" s="167">
        <f t="shared" si="57"/>
        <v>9</v>
      </c>
      <c r="BW71" s="164"/>
      <c r="BX71" s="164"/>
      <c r="BY71" s="164"/>
      <c r="BZ71" s="164"/>
      <c r="CA71" s="164"/>
      <c r="CB71" s="164"/>
    </row>
    <row r="72" spans="1:87" x14ac:dyDescent="0.25">
      <c r="A72" s="96">
        <v>64</v>
      </c>
      <c r="B72" s="96" t="str">
        <f t="shared" si="143"/>
        <v>Ene 01c</v>
      </c>
      <c r="C72" s="96" t="str">
        <f t="shared" si="19"/>
        <v>Ene 01</v>
      </c>
      <c r="D72" s="163" t="s">
        <v>696</v>
      </c>
      <c r="E72" s="1107" t="s">
        <v>621</v>
      </c>
      <c r="F72" s="775">
        <v>4</v>
      </c>
      <c r="G72" s="775">
        <v>4</v>
      </c>
      <c r="H72" s="775">
        <v>4</v>
      </c>
      <c r="I72" s="775">
        <v>4</v>
      </c>
      <c r="J72" s="775">
        <v>4</v>
      </c>
      <c r="K72" s="775">
        <v>4</v>
      </c>
      <c r="L72" s="775">
        <v>4</v>
      </c>
      <c r="M72" s="775">
        <v>4</v>
      </c>
      <c r="N72" s="775">
        <v>4</v>
      </c>
      <c r="O72" s="775">
        <v>4</v>
      </c>
      <c r="P72" s="775">
        <v>4</v>
      </c>
      <c r="Q72" s="775">
        <v>4</v>
      </c>
      <c r="R72" s="775">
        <v>4</v>
      </c>
      <c r="T72" s="221">
        <f t="shared" si="133"/>
        <v>4</v>
      </c>
      <c r="U72" s="166"/>
      <c r="V72" s="167"/>
      <c r="W72" s="167"/>
      <c r="X72" s="167"/>
      <c r="Y72" s="168"/>
      <c r="Z72" s="168">
        <f>VLOOKUP(B72,'Manuell filtrering og justering'!$A$7:$H$107,'Manuell filtrering og justering'!$H$1,FALSE)</f>
        <v>22</v>
      </c>
      <c r="AA72" s="169">
        <f t="shared" si="135"/>
        <v>0</v>
      </c>
      <c r="AB72" s="170">
        <f>IF($AC$5='Manuell filtrering og justering'!$J$2,Z72,(T72-AA72))</f>
        <v>4</v>
      </c>
      <c r="AD72" s="171">
        <f t="shared" si="136"/>
        <v>2.0740740740740744E-2</v>
      </c>
      <c r="AE72" s="171">
        <f t="shared" si="144"/>
        <v>0</v>
      </c>
      <c r="AF72" s="171">
        <f t="shared" si="145"/>
        <v>0</v>
      </c>
      <c r="AG72" s="171">
        <f t="shared" si="146"/>
        <v>0</v>
      </c>
      <c r="AI72" s="172">
        <f>IF(VLOOKUP(E72,'Pre-Assessment Estimator'!$E$11:$Z$228,'Pre-Assessment Estimator'!$G$2,FALSE)&gt;AB72,AB72,VLOOKUP(E72,'Pre-Assessment Estimator'!$E$11:$Z$228,'Pre-Assessment Estimator'!$G$2,FALSE))</f>
        <v>0</v>
      </c>
      <c r="AJ72" s="172">
        <f>IF(VLOOKUP(E72,'Pre-Assessment Estimator'!$E$11:$Z$228,'Pre-Assessment Estimator'!$N$2,FALSE)&gt;AB72,AB72,VLOOKUP(E72,'Pre-Assessment Estimator'!$E$11:$Z$228,'Pre-Assessment Estimator'!$N$2,FALSE))</f>
        <v>0</v>
      </c>
      <c r="AK72" s="172">
        <f>IF(VLOOKUP(E72,'Pre-Assessment Estimator'!$E$11:$Z$228,'Pre-Assessment Estimator'!$U$2,FALSE)&gt;AB72,AB72,VLOOKUP(E72,'Pre-Assessment Estimator'!$E$11:$Z$228,'Pre-Assessment Estimator'!$U$2,FALSE))</f>
        <v>0</v>
      </c>
      <c r="AM72" s="826"/>
      <c r="AN72" s="827"/>
      <c r="AO72" s="827"/>
      <c r="AP72" s="836">
        <v>1</v>
      </c>
      <c r="AQ72" s="837">
        <v>1</v>
      </c>
      <c r="AS72" s="835"/>
      <c r="AT72" s="836"/>
      <c r="AU72" s="836"/>
      <c r="AV72" s="836">
        <v>1</v>
      </c>
      <c r="AW72" s="837">
        <v>1</v>
      </c>
      <c r="AY72" s="828"/>
      <c r="AZ72" s="829"/>
      <c r="BA72" s="829"/>
      <c r="BB72" s="183">
        <f t="shared" ref="BB72" si="150">IF($E$6=$H$9,AV72,AP72)</f>
        <v>1</v>
      </c>
      <c r="BC72" s="187">
        <f>IF($E$6=$H$9,AW72,AQ72)</f>
        <v>1</v>
      </c>
      <c r="BD72" s="182">
        <f t="shared" si="147"/>
        <v>3</v>
      </c>
      <c r="BE72" s="164" t="str">
        <f t="shared" si="139"/>
        <v>Very Good</v>
      </c>
      <c r="BF72" s="185"/>
      <c r="BG72" s="182">
        <f t="shared" si="148"/>
        <v>3</v>
      </c>
      <c r="BH72" s="164" t="str">
        <f t="shared" si="141"/>
        <v>Very Good</v>
      </c>
      <c r="BI72" s="185"/>
      <c r="BJ72" s="182">
        <f t="shared" si="149"/>
        <v>3</v>
      </c>
      <c r="BK72" s="164" t="str">
        <f t="shared" si="142"/>
        <v>Very Good</v>
      </c>
      <c r="BL72" s="830"/>
      <c r="BO72" s="167"/>
      <c r="BP72" s="167"/>
      <c r="BQ72" s="167" t="str">
        <f t="shared" si="15"/>
        <v/>
      </c>
      <c r="BR72" s="167">
        <f t="shared" si="55"/>
        <v>9</v>
      </c>
      <c r="BS72" s="167">
        <f t="shared" si="56"/>
        <v>9</v>
      </c>
      <c r="BT72" s="167">
        <f t="shared" si="57"/>
        <v>9</v>
      </c>
      <c r="BW72" s="164"/>
      <c r="BX72" s="164"/>
      <c r="BY72" s="164"/>
      <c r="BZ72" s="164"/>
      <c r="CA72" s="164"/>
      <c r="CB72" s="164"/>
    </row>
    <row r="73" spans="1:87" x14ac:dyDescent="0.25">
      <c r="A73" s="96">
        <v>65</v>
      </c>
      <c r="B73" s="96" t="str">
        <f t="shared" si="143"/>
        <v>Ene 01d</v>
      </c>
      <c r="C73" s="96" t="str">
        <f t="shared" si="19"/>
        <v>Ene 01</v>
      </c>
      <c r="D73" s="163" t="s">
        <v>694</v>
      </c>
      <c r="E73" s="1248" t="s">
        <v>1076</v>
      </c>
      <c r="F73" s="775">
        <v>1</v>
      </c>
      <c r="G73" s="775">
        <v>1</v>
      </c>
      <c r="H73" s="775">
        <v>1</v>
      </c>
      <c r="I73" s="775">
        <v>1</v>
      </c>
      <c r="J73" s="775">
        <v>1</v>
      </c>
      <c r="K73" s="775">
        <v>1</v>
      </c>
      <c r="L73" s="775">
        <v>1</v>
      </c>
      <c r="M73" s="775">
        <v>1</v>
      </c>
      <c r="N73" s="775">
        <v>1</v>
      </c>
      <c r="O73" s="775">
        <v>1</v>
      </c>
      <c r="P73" s="775">
        <v>1</v>
      </c>
      <c r="Q73" s="775">
        <v>1</v>
      </c>
      <c r="R73" s="775">
        <v>1</v>
      </c>
      <c r="T73" s="221">
        <f t="shared" si="133"/>
        <v>1</v>
      </c>
      <c r="U73" s="166"/>
      <c r="V73" s="167"/>
      <c r="W73" s="167"/>
      <c r="X73" s="167"/>
      <c r="Y73" s="168"/>
      <c r="Z73" s="168">
        <f>VLOOKUP(B73,'Manuell filtrering og justering'!$A$7:$H$107,'Manuell filtrering og justering'!$H$1,FALSE)</f>
        <v>1</v>
      </c>
      <c r="AA73" s="169">
        <f t="shared" si="135"/>
        <v>0</v>
      </c>
      <c r="AB73" s="170">
        <f>IF($AC$5='Manuell filtrering og justering'!$J$2,Z73,(T73-AA73))</f>
        <v>1</v>
      </c>
      <c r="AD73" s="171">
        <f t="shared" si="136"/>
        <v>5.1851851851851859E-3</v>
      </c>
      <c r="AE73" s="171">
        <f t="shared" si="144"/>
        <v>0</v>
      </c>
      <c r="AF73" s="171">
        <f t="shared" si="145"/>
        <v>0</v>
      </c>
      <c r="AG73" s="171">
        <f t="shared" si="146"/>
        <v>0</v>
      </c>
      <c r="AI73" s="172">
        <f>IF(VLOOKUP(E73,'Pre-Assessment Estimator'!$E$11:$Z$228,'Pre-Assessment Estimator'!$G$2,FALSE)&gt;AB73,AB73,VLOOKUP(E73,'Pre-Assessment Estimator'!$E$11:$Z$228,'Pre-Assessment Estimator'!$G$2,FALSE))</f>
        <v>0</v>
      </c>
      <c r="AJ73" s="172">
        <f>IF(VLOOKUP(E73,'Pre-Assessment Estimator'!$E$11:$Z$228,'Pre-Assessment Estimator'!$N$2,FALSE)&gt;AB73,AB73,VLOOKUP(E73,'Pre-Assessment Estimator'!$E$11:$Z$228,'Pre-Assessment Estimator'!$N$2,FALSE))</f>
        <v>0</v>
      </c>
      <c r="AK73" s="172">
        <f>IF(VLOOKUP(E73,'Pre-Assessment Estimator'!$E$11:$Z$228,'Pre-Assessment Estimator'!$U$2,FALSE)&gt;AB73,AB73,VLOOKUP(E73,'Pre-Assessment Estimator'!$E$11:$Z$228,'Pre-Assessment Estimator'!$U$2,FALSE))</f>
        <v>0</v>
      </c>
      <c r="AM73" s="826"/>
      <c r="AN73" s="827"/>
      <c r="AO73" s="827"/>
      <c r="AP73" s="836">
        <v>1</v>
      </c>
      <c r="AQ73" s="837">
        <v>1</v>
      </c>
      <c r="AS73" s="835"/>
      <c r="AT73" s="836"/>
      <c r="AU73" s="836"/>
      <c r="AV73" s="836">
        <v>1</v>
      </c>
      <c r="AW73" s="837">
        <v>1</v>
      </c>
      <c r="AY73" s="828"/>
      <c r="AZ73" s="829"/>
      <c r="BA73" s="829"/>
      <c r="BB73" s="183">
        <f t="shared" ref="BB73" si="151">IF($E$6=$H$9,AV73,AP73)</f>
        <v>1</v>
      </c>
      <c r="BC73" s="187">
        <f>IF($E$6=$H$9,AW73,AQ73)</f>
        <v>1</v>
      </c>
      <c r="BD73" s="182">
        <f t="shared" si="147"/>
        <v>3</v>
      </c>
      <c r="BE73" s="164" t="str">
        <f t="shared" si="139"/>
        <v>Very Good</v>
      </c>
      <c r="BF73" s="185"/>
      <c r="BG73" s="182">
        <f t="shared" si="148"/>
        <v>3</v>
      </c>
      <c r="BH73" s="164" t="str">
        <f t="shared" si="141"/>
        <v>Very Good</v>
      </c>
      <c r="BI73" s="185"/>
      <c r="BJ73" s="182">
        <f t="shared" si="149"/>
        <v>3</v>
      </c>
      <c r="BK73" s="164" t="str">
        <f t="shared" si="142"/>
        <v>Very Good</v>
      </c>
      <c r="BL73" s="830"/>
      <c r="BO73" s="189"/>
      <c r="BP73" s="167"/>
      <c r="BQ73" s="167" t="str">
        <f t="shared" si="15"/>
        <v/>
      </c>
      <c r="BR73" s="167">
        <f t="shared" si="55"/>
        <v>9</v>
      </c>
      <c r="BS73" s="167">
        <f t="shared" si="56"/>
        <v>9</v>
      </c>
      <c r="BT73" s="167">
        <f t="shared" si="57"/>
        <v>9</v>
      </c>
      <c r="BW73" s="164"/>
      <c r="BX73" s="164"/>
      <c r="BY73" s="164"/>
      <c r="BZ73" s="164"/>
      <c r="CA73" s="164"/>
      <c r="CB73" s="164"/>
    </row>
    <row r="74" spans="1:87" x14ac:dyDescent="0.25">
      <c r="A74" s="96">
        <v>66</v>
      </c>
      <c r="B74" s="96" t="str">
        <f t="shared" si="143"/>
        <v>Ene 01e</v>
      </c>
      <c r="C74" s="96" t="str">
        <f t="shared" si="19"/>
        <v>Ene 01</v>
      </c>
      <c r="D74" s="163" t="s">
        <v>693</v>
      </c>
      <c r="E74" s="1107" t="s">
        <v>623</v>
      </c>
      <c r="F74" s="775">
        <v>4</v>
      </c>
      <c r="G74" s="775">
        <v>4</v>
      </c>
      <c r="H74" s="775">
        <v>4</v>
      </c>
      <c r="I74" s="775">
        <v>4</v>
      </c>
      <c r="J74" s="775">
        <v>4</v>
      </c>
      <c r="K74" s="775">
        <v>4</v>
      </c>
      <c r="L74" s="775">
        <v>4</v>
      </c>
      <c r="M74" s="775">
        <v>4</v>
      </c>
      <c r="N74" s="775">
        <v>4</v>
      </c>
      <c r="O74" s="775">
        <v>4</v>
      </c>
      <c r="P74" s="775">
        <v>4</v>
      </c>
      <c r="Q74" s="775">
        <v>4</v>
      </c>
      <c r="R74" s="775">
        <v>4</v>
      </c>
      <c r="T74" s="221">
        <f t="shared" si="133"/>
        <v>4</v>
      </c>
      <c r="U74" s="166"/>
      <c r="V74" s="167"/>
      <c r="W74" s="167"/>
      <c r="X74" s="167"/>
      <c r="Y74" s="169">
        <f>IF($Y$4=$Y$6,T74,0)</f>
        <v>0</v>
      </c>
      <c r="Z74" s="168">
        <f>VLOOKUP(B74,'Manuell filtrering og justering'!$A$7:$H$107,'Manuell filtrering og justering'!$H$1,FALSE)</f>
        <v>0</v>
      </c>
      <c r="AA74" s="169">
        <f t="shared" si="135"/>
        <v>0</v>
      </c>
      <c r="AB74" s="170">
        <f>IF($AC$5='Manuell filtrering og justering'!$J$2,Z74,(T74-AA74))</f>
        <v>4</v>
      </c>
      <c r="AD74" s="171">
        <f t="shared" si="136"/>
        <v>2.0740740740740744E-2</v>
      </c>
      <c r="AE74" s="171">
        <f t="shared" si="144"/>
        <v>0</v>
      </c>
      <c r="AF74" s="171">
        <f t="shared" si="145"/>
        <v>0</v>
      </c>
      <c r="AG74" s="171">
        <f t="shared" si="146"/>
        <v>0</v>
      </c>
      <c r="AI74" s="172">
        <f>IF(VLOOKUP(E74,'Pre-Assessment Estimator'!$E$11:$Z$228,'Pre-Assessment Estimator'!$G$2,FALSE)&gt;AB74,AB74,VLOOKUP(E74,'Pre-Assessment Estimator'!$E$11:$Z$228,'Pre-Assessment Estimator'!$G$2,FALSE))</f>
        <v>0</v>
      </c>
      <c r="AJ74" s="172">
        <f>IF(VLOOKUP(E74,'Pre-Assessment Estimator'!$E$11:$Z$228,'Pre-Assessment Estimator'!$N$2,FALSE)&gt;AB74,AB74,VLOOKUP(E74,'Pre-Assessment Estimator'!$E$11:$Z$228,'Pre-Assessment Estimator'!$N$2,FALSE))</f>
        <v>0</v>
      </c>
      <c r="AK74" s="172">
        <f>IF(VLOOKUP(E74,'Pre-Assessment Estimator'!$E$11:$Z$228,'Pre-Assessment Estimator'!$U$2,FALSE)&gt;AB74,AB74,VLOOKUP(E74,'Pre-Assessment Estimator'!$E$11:$Z$228,'Pre-Assessment Estimator'!$U$2,FALSE))</f>
        <v>0</v>
      </c>
      <c r="AM74" s="826"/>
      <c r="AN74" s="827"/>
      <c r="AO74" s="827"/>
      <c r="AP74" s="836"/>
      <c r="AQ74" s="837"/>
      <c r="AS74" s="835"/>
      <c r="AT74" s="836"/>
      <c r="AU74" s="836"/>
      <c r="AV74" s="836"/>
      <c r="AW74" s="837"/>
      <c r="AY74" s="828"/>
      <c r="AZ74" s="829"/>
      <c r="BA74" s="829"/>
      <c r="BB74" s="829"/>
      <c r="BC74" s="848"/>
      <c r="BD74" s="182">
        <f t="shared" si="147"/>
        <v>9</v>
      </c>
      <c r="BE74" s="164" t="str">
        <f t="shared" si="139"/>
        <v>N/A</v>
      </c>
      <c r="BF74" s="185"/>
      <c r="BG74" s="182">
        <f t="shared" si="148"/>
        <v>9</v>
      </c>
      <c r="BH74" s="164" t="str">
        <f t="shared" si="141"/>
        <v>N/A</v>
      </c>
      <c r="BI74" s="185"/>
      <c r="BJ74" s="182">
        <f t="shared" si="149"/>
        <v>9</v>
      </c>
      <c r="BK74" s="164" t="str">
        <f t="shared" si="142"/>
        <v>N/A</v>
      </c>
      <c r="BL74" s="830"/>
      <c r="BO74" s="167"/>
      <c r="BP74" s="167"/>
      <c r="BQ74" s="167" t="str">
        <f t="shared" si="15"/>
        <v/>
      </c>
      <c r="BR74" s="167">
        <f t="shared" si="55"/>
        <v>9</v>
      </c>
      <c r="BS74" s="167">
        <f t="shared" si="56"/>
        <v>9</v>
      </c>
      <c r="BT74" s="167">
        <f t="shared" si="57"/>
        <v>9</v>
      </c>
      <c r="BW74" s="164"/>
      <c r="BX74" s="164"/>
      <c r="BY74" s="164"/>
      <c r="BZ74" s="164"/>
      <c r="CA74" s="164"/>
      <c r="CB74" s="164"/>
    </row>
    <row r="75" spans="1:87" x14ac:dyDescent="0.25">
      <c r="A75" s="96">
        <v>67</v>
      </c>
      <c r="B75" s="137" t="str">
        <f>D75</f>
        <v>Ene 02</v>
      </c>
      <c r="C75" s="137" t="str">
        <f>B75</f>
        <v>Ene 02</v>
      </c>
      <c r="D75" s="834" t="s">
        <v>135</v>
      </c>
      <c r="E75" s="832" t="s">
        <v>133</v>
      </c>
      <c r="F75" s="933">
        <f t="shared" ref="F75:R75" si="152">SUM(F76:F78)</f>
        <v>2</v>
      </c>
      <c r="G75" s="933">
        <f t="shared" si="152"/>
        <v>2</v>
      </c>
      <c r="H75" s="933">
        <f t="shared" si="152"/>
        <v>2</v>
      </c>
      <c r="I75" s="933">
        <f t="shared" si="152"/>
        <v>2</v>
      </c>
      <c r="J75" s="933">
        <f t="shared" si="152"/>
        <v>2</v>
      </c>
      <c r="K75" s="933">
        <f t="shared" si="152"/>
        <v>2</v>
      </c>
      <c r="L75" s="933">
        <f t="shared" si="152"/>
        <v>2</v>
      </c>
      <c r="M75" s="933">
        <f t="shared" si="152"/>
        <v>2</v>
      </c>
      <c r="N75" s="933">
        <f t="shared" si="152"/>
        <v>2</v>
      </c>
      <c r="O75" s="933">
        <f t="shared" si="152"/>
        <v>2</v>
      </c>
      <c r="P75" s="933">
        <f t="shared" si="152"/>
        <v>2</v>
      </c>
      <c r="Q75" s="933">
        <f t="shared" ref="Q75" si="153">SUM(Q76:Q78)</f>
        <v>2</v>
      </c>
      <c r="R75" s="933">
        <f t="shared" si="152"/>
        <v>2</v>
      </c>
      <c r="T75" s="963">
        <f t="shared" si="133"/>
        <v>2</v>
      </c>
      <c r="U75" s="222">
        <f>U77</f>
        <v>0</v>
      </c>
      <c r="V75" s="230"/>
      <c r="W75" s="230"/>
      <c r="X75" s="230">
        <f>'Manuell filtrering og justering'!E30</f>
        <v>0</v>
      </c>
      <c r="Y75" s="230"/>
      <c r="Z75" s="958">
        <f t="shared" ref="Z75" si="154">SUM(Z76:Z78)</f>
        <v>2</v>
      </c>
      <c r="AA75" s="963">
        <f t="shared" si="135"/>
        <v>0</v>
      </c>
      <c r="AB75" s="1066">
        <f>SUM(AB76:AB78)</f>
        <v>2</v>
      </c>
      <c r="AD75" s="171">
        <f t="shared" si="136"/>
        <v>1.0370370370370372E-2</v>
      </c>
      <c r="AE75" s="921">
        <f>SUM(AE76:AE78)</f>
        <v>0</v>
      </c>
      <c r="AF75" s="921">
        <f t="shared" ref="AF75:AG75" si="155">SUM(AF76:AF78)</f>
        <v>0</v>
      </c>
      <c r="AG75" s="921">
        <f t="shared" si="155"/>
        <v>0</v>
      </c>
      <c r="AI75" s="958">
        <f t="shared" ref="AI75:AK75" si="156">SUM(AI76:AI78)</f>
        <v>0</v>
      </c>
      <c r="AJ75" s="958">
        <f t="shared" si="156"/>
        <v>0</v>
      </c>
      <c r="AK75" s="958">
        <f t="shared" si="156"/>
        <v>0</v>
      </c>
      <c r="AL75" s="96" t="s">
        <v>425</v>
      </c>
      <c r="AM75" s="291"/>
      <c r="AN75" s="181"/>
      <c r="AO75" s="181"/>
      <c r="AP75" s="181"/>
      <c r="AQ75" s="186"/>
      <c r="AS75" s="291"/>
      <c r="AT75" s="181"/>
      <c r="AU75" s="181"/>
      <c r="AV75" s="181"/>
      <c r="AW75" s="186"/>
      <c r="AY75" s="182"/>
      <c r="AZ75" s="183"/>
      <c r="BA75" s="183"/>
      <c r="BB75" s="183"/>
      <c r="BC75" s="187"/>
      <c r="BD75" s="182">
        <f>IF(BC75=0,9,IF((AI75-CG75)&gt;=BC75,5,IF((AI75-CG75)&gt;=BB75,4,IF((AI75-CG75)&gt;=BA75,3,IF((AI75-CG75)&gt;=AZ75,2,IF((AI75-CG75)&lt;AY75,0,1))))))</f>
        <v>9</v>
      </c>
      <c r="BE75" s="164" t="str">
        <f t="shared" si="139"/>
        <v>N/A</v>
      </c>
      <c r="BF75" s="185"/>
      <c r="BG75" s="182">
        <f>IF(BC75=0,9,IF((AJ75-CG75)&gt;=BC75,5,IF((AJ75-CG75)&gt;=BB75,4,IF((AJ75-CG75)&gt;=BA75,3,IF((AJ75-CG75)&gt;=AZ75,2,IF((AJ75-CG75)&lt;AY75,0,1))))))</f>
        <v>9</v>
      </c>
      <c r="BH75" s="164" t="str">
        <f t="shared" si="141"/>
        <v>N/A</v>
      </c>
      <c r="BI75" s="185"/>
      <c r="BJ75" s="182">
        <f>IF(BC75=0,9,IF((AK75-CG75)&gt;=BC75,5,IF((AK75-CG75)&gt;=BB75,4,IF((AK75-CG75)&gt;=BA75,3,IF((AK75-CG75)&gt;=AZ75,2,IF((AK75-CG75)&lt;AY75,0,1))))))</f>
        <v>9</v>
      </c>
      <c r="BK75" s="164" t="str">
        <f t="shared" si="142"/>
        <v>N/A</v>
      </c>
      <c r="BL75" s="185"/>
      <c r="BO75" s="167"/>
      <c r="BP75" s="167"/>
      <c r="BQ75" s="167" t="str">
        <f t="shared" ref="BQ75:BQ138" si="157">IF(BO75&lt;&gt;"",BO75,IF(BP75&lt;&gt;"",BP75,""))</f>
        <v/>
      </c>
      <c r="BR75" s="167">
        <f t="shared" si="55"/>
        <v>9</v>
      </c>
      <c r="BS75" s="167">
        <f t="shared" si="56"/>
        <v>9</v>
      </c>
      <c r="BT75" s="167">
        <f t="shared" si="57"/>
        <v>9</v>
      </c>
      <c r="BW75" s="167" t="str">
        <f>D75</f>
        <v>Ene 02</v>
      </c>
      <c r="BX75" s="167" t="str">
        <f>IFERROR(VLOOKUP($E75,'Pre-Assessment Estimator'!$E$11:$AB$228,'Pre-Assessment Estimator'!AB$2,FALSE),"")</f>
        <v>O2: Sub-met. (AC 4-7: -1,0 c)</v>
      </c>
      <c r="BY75" s="230" t="str">
        <f>IFERROR(VLOOKUP($E75,'Pre-Assessment Estimator'!$E$11:$AI$228,'Pre-Assessment Estimator'!AI$2,FALSE),"")</f>
        <v>Ja</v>
      </c>
      <c r="BZ75" s="167">
        <f>IFERROR(VLOOKUP($BX75,$E$294:$H$327,F$292,FALSE),"")</f>
        <v>-1</v>
      </c>
      <c r="CA75" s="672" t="s">
        <v>428</v>
      </c>
      <c r="CB75" s="167">
        <f>H309</f>
        <v>1</v>
      </c>
      <c r="CC75" s="96" t="str">
        <f>IFERROR(VLOOKUP($BX75,$E$294:$H$327,I$292,FALSE),"")</f>
        <v/>
      </c>
      <c r="CD75" s="681" t="s">
        <v>403</v>
      </c>
      <c r="CE75" s="167">
        <f>VLOOKUP(CA75,$CA$4:$CB$5,2,FALSE)</f>
        <v>0</v>
      </c>
      <c r="CG75" s="681">
        <f>IF($BX$5=ais_nei,CE75,IF(CD75=$BY$5,IF(AND(CA75=$CA$4,BX75=$CC$4),0,BZ75),CE75))</f>
        <v>0</v>
      </c>
      <c r="CI75" s="96" t="s">
        <v>403</v>
      </c>
    </row>
    <row r="76" spans="1:87" x14ac:dyDescent="0.25">
      <c r="A76" s="96">
        <v>68</v>
      </c>
      <c r="B76" s="96" t="str">
        <f t="shared" ref="B76:B78" si="158">$D$75&amp;D76</f>
        <v>Ene 02a</v>
      </c>
      <c r="C76" s="96" t="str">
        <f t="shared" ref="C76:C139" si="159">C75</f>
        <v>Ene 02</v>
      </c>
      <c r="D76" s="163" t="s">
        <v>692</v>
      </c>
      <c r="E76" s="1123" t="s">
        <v>624</v>
      </c>
      <c r="F76" s="775">
        <v>1</v>
      </c>
      <c r="G76" s="775">
        <v>1</v>
      </c>
      <c r="H76" s="1022">
        <v>0</v>
      </c>
      <c r="I76" s="775">
        <v>1</v>
      </c>
      <c r="J76" s="775">
        <v>1</v>
      </c>
      <c r="K76" s="775">
        <v>1</v>
      </c>
      <c r="L76" s="775">
        <v>1</v>
      </c>
      <c r="M76" s="775">
        <v>1</v>
      </c>
      <c r="N76" s="775">
        <v>1</v>
      </c>
      <c r="O76" s="775">
        <v>1</v>
      </c>
      <c r="P76" s="775">
        <v>1</v>
      </c>
      <c r="Q76" s="775">
        <v>1</v>
      </c>
      <c r="R76" s="775">
        <v>1</v>
      </c>
      <c r="T76" s="221">
        <f t="shared" si="133"/>
        <v>1</v>
      </c>
      <c r="U76" s="166"/>
      <c r="V76" s="167"/>
      <c r="W76" s="167"/>
      <c r="X76" s="167"/>
      <c r="Y76" s="169">
        <f>IF($Y$4=$Y$6,T76,0)</f>
        <v>0</v>
      </c>
      <c r="Z76" s="168">
        <f>VLOOKUP(B76,'Manuell filtrering og justering'!$A$7:$H$107,'Manuell filtrering og justering'!$H$1,FALSE)</f>
        <v>1</v>
      </c>
      <c r="AA76" s="169">
        <f t="shared" si="135"/>
        <v>0</v>
      </c>
      <c r="AB76" s="170">
        <f>IF($AC$5='Manuell filtrering og justering'!$J$2,Z76,(T76-AA76))</f>
        <v>1</v>
      </c>
      <c r="AD76" s="171">
        <f t="shared" si="136"/>
        <v>5.1851851851851859E-3</v>
      </c>
      <c r="AE76" s="171">
        <f t="shared" si="144"/>
        <v>0</v>
      </c>
      <c r="AF76" s="171">
        <f t="shared" si="145"/>
        <v>0</v>
      </c>
      <c r="AG76" s="171">
        <f t="shared" si="146"/>
        <v>0</v>
      </c>
      <c r="AI76" s="172">
        <f>IF(VLOOKUP(E76,'Pre-Assessment Estimator'!$E$11:$Z$228,'Pre-Assessment Estimator'!$G$2,FALSE)&gt;AB76,AB76,VLOOKUP(E76,'Pre-Assessment Estimator'!$E$11:$Z$228,'Pre-Assessment Estimator'!$G$2,FALSE))</f>
        <v>0</v>
      </c>
      <c r="AJ76" s="172">
        <f>IF(VLOOKUP(E76,'Pre-Assessment Estimator'!$E$11:$Z$228,'Pre-Assessment Estimator'!$N$2,FALSE)&gt;AB76,AB76,VLOOKUP(E76,'Pre-Assessment Estimator'!$E$11:$Z$228,'Pre-Assessment Estimator'!$N$2,FALSE))</f>
        <v>0</v>
      </c>
      <c r="AK76" s="172">
        <f>IF(VLOOKUP(E76,'Pre-Assessment Estimator'!$E$11:$Z$228,'Pre-Assessment Estimator'!$U$2,FALSE)&gt;AB76,AB76,VLOOKUP(E76,'Pre-Assessment Estimator'!$E$11:$Z$228,'Pre-Assessment Estimator'!$U$2,FALSE))</f>
        <v>0</v>
      </c>
      <c r="AM76" s="291"/>
      <c r="AN76" s="181"/>
      <c r="AO76" s="181"/>
      <c r="AP76" s="181"/>
      <c r="AQ76" s="186"/>
      <c r="AS76" s="291"/>
      <c r="AT76" s="181"/>
      <c r="AU76" s="181"/>
      <c r="AV76" s="181"/>
      <c r="AW76" s="186"/>
      <c r="AY76" s="182"/>
      <c r="AZ76" s="183"/>
      <c r="BA76" s="183"/>
      <c r="BB76" s="183"/>
      <c r="BC76" s="187"/>
      <c r="BD76" s="182">
        <f t="shared" ref="BD76:BD95" si="160">IF(BC76=0,9,IF((AI76-CG76)&gt;=BC76,5,IF((AI76-CG76)&gt;=BB76,4,IF((AI76-CG76)&gt;=BA76,3,IF((AI76-CG76)&gt;=AZ76,2,IF((AI76-CG76)&lt;AY76,0,1))))))</f>
        <v>9</v>
      </c>
      <c r="BE76" s="164" t="str">
        <f t="shared" si="139"/>
        <v>N/A</v>
      </c>
      <c r="BF76" s="185"/>
      <c r="BG76" s="182">
        <f t="shared" ref="BG76:BG95" si="161">IF(BC76=0,9,IF((AJ76-CG76)&gt;=BC76,5,IF((AJ76-CG76)&gt;=BB76,4,IF((AJ76-CG76)&gt;=BA76,3,IF((AJ76-CG76)&gt;=AZ76,2,IF((AJ76-CG76)&lt;AY76,0,1))))))</f>
        <v>9</v>
      </c>
      <c r="BH76" s="164" t="str">
        <f t="shared" si="141"/>
        <v>N/A</v>
      </c>
      <c r="BI76" s="185"/>
      <c r="BJ76" s="182">
        <f t="shared" ref="BJ76:BJ95" si="162">IF(BC76=0,9,IF((AK76-CG76)&gt;=BC76,5,IF((AK76-CG76)&gt;=BB76,4,IF((AK76-CG76)&gt;=BA76,3,IF((AK76-CG76)&gt;=AZ76,2,IF((AK76-CG76)&lt;AY76,0,1))))))</f>
        <v>9</v>
      </c>
      <c r="BK76" s="164" t="str">
        <f t="shared" si="142"/>
        <v>N/A</v>
      </c>
      <c r="BL76" s="185"/>
      <c r="BO76" s="167"/>
      <c r="BP76" s="167"/>
      <c r="BQ76" s="167" t="str">
        <f t="shared" si="157"/>
        <v/>
      </c>
      <c r="BR76" s="167">
        <f t="shared" si="55"/>
        <v>9</v>
      </c>
      <c r="BS76" s="167">
        <f t="shared" si="56"/>
        <v>9</v>
      </c>
      <c r="BT76" s="167">
        <f t="shared" si="57"/>
        <v>9</v>
      </c>
      <c r="BW76" s="167"/>
      <c r="BX76" s="167"/>
      <c r="BY76" s="230"/>
      <c r="BZ76" s="167"/>
      <c r="CA76" s="839"/>
      <c r="CB76" s="167"/>
      <c r="CD76" s="681"/>
      <c r="CE76" s="167"/>
      <c r="CG76" s="681"/>
    </row>
    <row r="77" spans="1:87" x14ac:dyDescent="0.25">
      <c r="A77" s="96">
        <v>69</v>
      </c>
      <c r="B77" s="96" t="str">
        <f t="shared" si="158"/>
        <v>Ene 02b</v>
      </c>
      <c r="C77" s="96" t="str">
        <f t="shared" si="159"/>
        <v>Ene 02</v>
      </c>
      <c r="D77" s="163" t="s">
        <v>695</v>
      </c>
      <c r="E77" s="1123" t="s">
        <v>625</v>
      </c>
      <c r="F77" s="775">
        <v>1</v>
      </c>
      <c r="G77" s="775">
        <v>1</v>
      </c>
      <c r="H77" s="1022">
        <v>0</v>
      </c>
      <c r="I77" s="775">
        <v>1</v>
      </c>
      <c r="J77" s="775">
        <v>1</v>
      </c>
      <c r="K77" s="775">
        <v>1</v>
      </c>
      <c r="L77" s="775">
        <v>1</v>
      </c>
      <c r="M77" s="775">
        <v>1</v>
      </c>
      <c r="N77" s="775">
        <v>1</v>
      </c>
      <c r="O77" s="775">
        <v>1</v>
      </c>
      <c r="P77" s="775">
        <v>1</v>
      </c>
      <c r="Q77" s="775">
        <v>1</v>
      </c>
      <c r="R77" s="775">
        <v>1</v>
      </c>
      <c r="T77" s="221">
        <f t="shared" si="133"/>
        <v>1</v>
      </c>
      <c r="U77" s="222">
        <f>IF(AND('Assessment Details'!I28=1,'Assessment Details'!F28=AD_no),Poeng!T77,0)</f>
        <v>0</v>
      </c>
      <c r="V77" s="167"/>
      <c r="W77" s="167"/>
      <c r="X77" s="167"/>
      <c r="Y77" s="169">
        <f>IF($Y$4=$Y$6,T77,0)</f>
        <v>0</v>
      </c>
      <c r="Z77" s="168">
        <f>VLOOKUP(B77,'Manuell filtrering og justering'!$A$7:$H$107,'Manuell filtrering og justering'!$H$1,FALSE)</f>
        <v>1</v>
      </c>
      <c r="AA77" s="169">
        <f t="shared" si="135"/>
        <v>0</v>
      </c>
      <c r="AB77" s="170">
        <f>IF($AC$5='Manuell filtrering og justering'!$J$2,Z77,(T77-AA77))</f>
        <v>1</v>
      </c>
      <c r="AD77" s="171">
        <f t="shared" si="136"/>
        <v>5.1851851851851859E-3</v>
      </c>
      <c r="AE77" s="171">
        <f t="shared" si="144"/>
        <v>0</v>
      </c>
      <c r="AF77" s="171">
        <f t="shared" si="145"/>
        <v>0</v>
      </c>
      <c r="AG77" s="171">
        <f t="shared" si="146"/>
        <v>0</v>
      </c>
      <c r="AI77" s="172">
        <f>IF(VLOOKUP(E77,'Pre-Assessment Estimator'!$E$11:$Z$228,'Pre-Assessment Estimator'!$G$2,FALSE)&gt;AB77,AB77,VLOOKUP(E77,'Pre-Assessment Estimator'!$E$11:$Z$228,'Pre-Assessment Estimator'!$G$2,FALSE))</f>
        <v>0</v>
      </c>
      <c r="AJ77" s="172">
        <f>IF(VLOOKUP(E77,'Pre-Assessment Estimator'!$E$11:$Z$228,'Pre-Assessment Estimator'!$N$2,FALSE)&gt;AB77,AB77,VLOOKUP(E77,'Pre-Assessment Estimator'!$E$11:$Z$228,'Pre-Assessment Estimator'!$N$2,FALSE))</f>
        <v>0</v>
      </c>
      <c r="AK77" s="172">
        <f>IF(VLOOKUP(E77,'Pre-Assessment Estimator'!$E$11:$Z$228,'Pre-Assessment Estimator'!$U$2,FALSE)&gt;AB77,AB77,VLOOKUP(E77,'Pre-Assessment Estimator'!$E$11:$Z$228,'Pre-Assessment Estimator'!$U$2,FALSE))</f>
        <v>0</v>
      </c>
      <c r="AM77" s="291"/>
      <c r="AN77" s="181"/>
      <c r="AO77" s="181"/>
      <c r="AP77" s="181"/>
      <c r="AQ77" s="186"/>
      <c r="AS77" s="291"/>
      <c r="AT77" s="181"/>
      <c r="AU77" s="181"/>
      <c r="AV77" s="181"/>
      <c r="AW77" s="186"/>
      <c r="AY77" s="182"/>
      <c r="AZ77" s="183"/>
      <c r="BA77" s="183"/>
      <c r="BB77" s="183"/>
      <c r="BC77" s="187"/>
      <c r="BD77" s="182">
        <f t="shared" si="160"/>
        <v>9</v>
      </c>
      <c r="BE77" s="164" t="str">
        <f t="shared" si="139"/>
        <v>N/A</v>
      </c>
      <c r="BF77" s="185"/>
      <c r="BG77" s="182">
        <f t="shared" si="161"/>
        <v>9</v>
      </c>
      <c r="BH77" s="164" t="str">
        <f t="shared" si="141"/>
        <v>N/A</v>
      </c>
      <c r="BI77" s="185"/>
      <c r="BJ77" s="182">
        <f t="shared" si="162"/>
        <v>9</v>
      </c>
      <c r="BK77" s="164" t="str">
        <f t="shared" si="142"/>
        <v>N/A</v>
      </c>
      <c r="BL77" s="185"/>
      <c r="BO77" s="167"/>
      <c r="BP77" s="167"/>
      <c r="BQ77" s="167" t="str">
        <f t="shared" si="157"/>
        <v/>
      </c>
      <c r="BR77" s="167">
        <f t="shared" si="55"/>
        <v>9</v>
      </c>
      <c r="BS77" s="167">
        <f t="shared" si="56"/>
        <v>9</v>
      </c>
      <c r="BT77" s="167">
        <f t="shared" si="57"/>
        <v>9</v>
      </c>
      <c r="BW77" s="167"/>
      <c r="BX77" s="167"/>
      <c r="BY77" s="230"/>
      <c r="BZ77" s="167"/>
      <c r="CA77" s="839"/>
      <c r="CB77" s="167"/>
      <c r="CD77" s="681"/>
      <c r="CE77" s="167"/>
      <c r="CG77" s="681"/>
    </row>
    <row r="78" spans="1:87" ht="15.75" thickBot="1" x14ac:dyDescent="0.3">
      <c r="A78" s="96">
        <v>70</v>
      </c>
      <c r="B78" s="96" t="str">
        <f t="shared" si="158"/>
        <v>Ene 02c</v>
      </c>
      <c r="C78" s="96" t="str">
        <f t="shared" si="159"/>
        <v>Ene 02</v>
      </c>
      <c r="D78" s="166" t="s">
        <v>696</v>
      </c>
      <c r="E78" s="1123" t="s">
        <v>626</v>
      </c>
      <c r="F78" s="775">
        <v>0</v>
      </c>
      <c r="G78" s="775">
        <v>0</v>
      </c>
      <c r="H78" s="1022">
        <v>2</v>
      </c>
      <c r="I78" s="775">
        <v>0</v>
      </c>
      <c r="J78" s="775">
        <v>0</v>
      </c>
      <c r="K78" s="775">
        <v>0</v>
      </c>
      <c r="L78" s="775">
        <v>0</v>
      </c>
      <c r="M78" s="775">
        <v>0</v>
      </c>
      <c r="N78" s="775">
        <v>0</v>
      </c>
      <c r="O78" s="775">
        <v>0</v>
      </c>
      <c r="P78" s="775">
        <v>0</v>
      </c>
      <c r="Q78" s="775">
        <v>0</v>
      </c>
      <c r="R78" s="775">
        <v>0</v>
      </c>
      <c r="T78" s="221">
        <f t="shared" si="133"/>
        <v>0</v>
      </c>
      <c r="U78" s="166"/>
      <c r="V78" s="167"/>
      <c r="W78" s="193"/>
      <c r="X78" s="167"/>
      <c r="Y78" s="169">
        <f>IF($Y$4=$Y$6,T78,0)</f>
        <v>0</v>
      </c>
      <c r="Z78" s="168">
        <f>VLOOKUP(B78,'Manuell filtrering og justering'!$A$7:$H$107,'Manuell filtrering og justering'!$H$1,FALSE)</f>
        <v>0</v>
      </c>
      <c r="AA78" s="169">
        <f t="shared" si="135"/>
        <v>0</v>
      </c>
      <c r="AB78" s="170">
        <f>IF($AC$5='Manuell filtrering og justering'!$J$2,Z78,(T78-AA78))</f>
        <v>0</v>
      </c>
      <c r="AD78" s="171">
        <f t="shared" si="136"/>
        <v>0</v>
      </c>
      <c r="AE78" s="171">
        <f t="shared" si="144"/>
        <v>0</v>
      </c>
      <c r="AF78" s="171">
        <f t="shared" si="145"/>
        <v>0</v>
      </c>
      <c r="AG78" s="171">
        <f t="shared" si="146"/>
        <v>0</v>
      </c>
      <c r="AI78" s="172">
        <f>IF(VLOOKUP(E78,'Pre-Assessment Estimator'!$E$11:$Z$228,'Pre-Assessment Estimator'!$G$2,FALSE)&gt;AB78,AB78,VLOOKUP(E78,'Pre-Assessment Estimator'!$E$11:$Z$228,'Pre-Assessment Estimator'!$G$2,FALSE))</f>
        <v>0</v>
      </c>
      <c r="AJ78" s="172">
        <f>IF(VLOOKUP(E78,'Pre-Assessment Estimator'!$E$11:$Z$228,'Pre-Assessment Estimator'!$N$2,FALSE)&gt;AB78,AB78,VLOOKUP(E78,'Pre-Assessment Estimator'!$E$11:$Z$228,'Pre-Assessment Estimator'!$N$2,FALSE))</f>
        <v>0</v>
      </c>
      <c r="AK78" s="172">
        <f>IF(VLOOKUP(E78,'Pre-Assessment Estimator'!$E$11:$Z$228,'Pre-Assessment Estimator'!$U$2,FALSE)&gt;AB78,AB78,VLOOKUP(E78,'Pre-Assessment Estimator'!$E$11:$Z$228,'Pre-Assessment Estimator'!$U$2,FALSE))</f>
        <v>0</v>
      </c>
      <c r="AM78" s="291"/>
      <c r="AN78" s="181"/>
      <c r="AO78" s="181"/>
      <c r="AP78" s="181"/>
      <c r="AQ78" s="186"/>
      <c r="AS78" s="291"/>
      <c r="AT78" s="181"/>
      <c r="AU78" s="181"/>
      <c r="AV78" s="181"/>
      <c r="AW78" s="186"/>
      <c r="AY78" s="182"/>
      <c r="AZ78" s="183"/>
      <c r="BA78" s="183"/>
      <c r="BB78" s="183"/>
      <c r="BC78" s="187"/>
      <c r="BD78" s="182">
        <f t="shared" si="160"/>
        <v>9</v>
      </c>
      <c r="BE78" s="164" t="str">
        <f t="shared" si="139"/>
        <v>N/A</v>
      </c>
      <c r="BF78" s="185"/>
      <c r="BG78" s="182">
        <f t="shared" si="161"/>
        <v>9</v>
      </c>
      <c r="BH78" s="164" t="str">
        <f t="shared" si="141"/>
        <v>N/A</v>
      </c>
      <c r="BI78" s="185"/>
      <c r="BJ78" s="182">
        <f t="shared" si="162"/>
        <v>9</v>
      </c>
      <c r="BK78" s="164" t="str">
        <f t="shared" si="142"/>
        <v>N/A</v>
      </c>
      <c r="BL78" s="185"/>
      <c r="BO78" s="167"/>
      <c r="BP78" s="167"/>
      <c r="BQ78" s="167" t="str">
        <f t="shared" si="157"/>
        <v/>
      </c>
      <c r="BR78" s="167">
        <f t="shared" si="55"/>
        <v>9</v>
      </c>
      <c r="BS78" s="167">
        <f t="shared" si="56"/>
        <v>9</v>
      </c>
      <c r="BT78" s="167">
        <f t="shared" si="57"/>
        <v>9</v>
      </c>
      <c r="BW78" s="167"/>
      <c r="BX78" s="167"/>
      <c r="BY78" s="230"/>
      <c r="BZ78" s="167"/>
      <c r="CA78" s="839"/>
      <c r="CB78" s="167"/>
      <c r="CD78" s="681"/>
      <c r="CE78" s="167"/>
      <c r="CG78" s="681"/>
    </row>
    <row r="79" spans="1:87" x14ac:dyDescent="0.25">
      <c r="A79" s="96">
        <v>71</v>
      </c>
      <c r="B79" s="137" t="str">
        <f>D79</f>
        <v>Ene 03</v>
      </c>
      <c r="C79" s="137" t="str">
        <f>B79</f>
        <v>Ene 03</v>
      </c>
      <c r="D79" s="942" t="s">
        <v>136</v>
      </c>
      <c r="E79" s="832" t="s">
        <v>128</v>
      </c>
      <c r="F79" s="951">
        <v>1</v>
      </c>
      <c r="G79" s="951">
        <v>1</v>
      </c>
      <c r="H79" s="951">
        <v>1</v>
      </c>
      <c r="I79" s="951">
        <v>1</v>
      </c>
      <c r="J79" s="951">
        <v>1</v>
      </c>
      <c r="K79" s="951">
        <v>1</v>
      </c>
      <c r="L79" s="951">
        <v>1</v>
      </c>
      <c r="M79" s="951">
        <v>1</v>
      </c>
      <c r="N79" s="951">
        <v>1</v>
      </c>
      <c r="O79" s="951">
        <v>1</v>
      </c>
      <c r="P79" s="951">
        <v>1</v>
      </c>
      <c r="Q79" s="951">
        <v>1</v>
      </c>
      <c r="R79" s="951">
        <v>1</v>
      </c>
      <c r="T79" s="963">
        <f t="shared" si="133"/>
        <v>1</v>
      </c>
      <c r="U79" s="222"/>
      <c r="V79" s="1098"/>
      <c r="W79" s="150" t="s">
        <v>953</v>
      </c>
      <c r="X79" s="1099">
        <f>'Manuell filtrering og justering'!E31</f>
        <v>0</v>
      </c>
      <c r="Y79" s="1159"/>
      <c r="Z79" s="980">
        <f>IF((Z80+Z81)&gt;0,1,0)</f>
        <v>1</v>
      </c>
      <c r="AA79" s="963">
        <f t="shared" si="135"/>
        <v>0</v>
      </c>
      <c r="AB79" s="1066">
        <f>SUM(AB80:AB81)</f>
        <v>1</v>
      </c>
      <c r="AD79" s="171">
        <f t="shared" si="136"/>
        <v>5.1851851851851859E-3</v>
      </c>
      <c r="AE79" s="921">
        <f>IF(SUM(AE80:AE81)&gt;Ene03_05,Ene03_05,SUM(AE80:AE81))</f>
        <v>0</v>
      </c>
      <c r="AF79" s="921">
        <f>IF(SUM(AF80:AF81)&gt;Ene03_05,Ene03_05,SUM(AF80:AF81))</f>
        <v>0</v>
      </c>
      <c r="AG79" s="921">
        <f>IF(SUM(AG80:AG81)&gt;Ene03_05,Ene03_05,SUM(AG80:AG81))</f>
        <v>0</v>
      </c>
      <c r="AI79" s="958">
        <f>IF(SUM(AI80:AI81)&gt;Ene03_credits,Ene03_credits,SUM(AI80:AI81))</f>
        <v>0</v>
      </c>
      <c r="AJ79" s="958">
        <f>IF(SUM(AJ80:AJ81)&gt;Ene03_credits,Ene03_credits,SUM(AJ80:AJ81))</f>
        <v>0</v>
      </c>
      <c r="AK79" s="958">
        <f>IF(SUM(AK80:AK81)&gt;Ene03_credits,Ene03_credits,SUM(AK80:AK81))</f>
        <v>0</v>
      </c>
      <c r="AL79" s="96" t="s">
        <v>425</v>
      </c>
      <c r="AM79" s="292"/>
      <c r="AN79" s="293"/>
      <c r="AO79" s="293"/>
      <c r="AP79" s="293"/>
      <c r="AQ79" s="294"/>
      <c r="AS79" s="292"/>
      <c r="AT79" s="293"/>
      <c r="AU79" s="293"/>
      <c r="AV79" s="293"/>
      <c r="AW79" s="294"/>
      <c r="AY79" s="188"/>
      <c r="AZ79" s="189"/>
      <c r="BA79" s="189"/>
      <c r="BB79" s="189"/>
      <c r="BC79" s="190"/>
      <c r="BD79" s="182">
        <f t="shared" si="160"/>
        <v>9</v>
      </c>
      <c r="BE79" s="164" t="str">
        <f t="shared" si="139"/>
        <v>N/A</v>
      </c>
      <c r="BF79" s="185"/>
      <c r="BG79" s="182">
        <f t="shared" si="161"/>
        <v>9</v>
      </c>
      <c r="BH79" s="164" t="str">
        <f t="shared" si="141"/>
        <v>N/A</v>
      </c>
      <c r="BI79" s="185"/>
      <c r="BJ79" s="182">
        <f t="shared" si="162"/>
        <v>9</v>
      </c>
      <c r="BK79" s="164" t="str">
        <f t="shared" si="142"/>
        <v>N/A</v>
      </c>
      <c r="BL79" s="185"/>
      <c r="BM79" s="96" t="s">
        <v>458</v>
      </c>
      <c r="BO79" s="167"/>
      <c r="BP79" s="167"/>
      <c r="BQ79" s="167" t="str">
        <f t="shared" si="157"/>
        <v/>
      </c>
      <c r="BR79" s="167">
        <f t="shared" si="55"/>
        <v>9</v>
      </c>
      <c r="BS79" s="167">
        <f t="shared" si="56"/>
        <v>9</v>
      </c>
      <c r="BT79" s="167">
        <f t="shared" si="57"/>
        <v>9</v>
      </c>
      <c r="BW79" s="167" t="str">
        <f>D79</f>
        <v>Ene 03</v>
      </c>
      <c r="BX79" s="167" t="str">
        <f>IFERROR(VLOOKUP($E79,'Pre-Assessment Estimator'!$E$11:$AB$228,'Pre-Assessment Estimator'!AB$2,FALSE),"")</f>
        <v>No</v>
      </c>
      <c r="BY79" s="230" t="str">
        <f>IFERROR(VLOOKUP($E79,'Pre-Assessment Estimator'!$E$11:$AI$228,'Pre-Assessment Estimator'!AI$2,FALSE),"")</f>
        <v>Ja</v>
      </c>
      <c r="BZ79" s="167">
        <f>IFERROR(VLOOKUP($BX79,$E$294:$H$327,F$292,FALSE),"")</f>
        <v>1</v>
      </c>
      <c r="CA79" s="680" t="s">
        <v>430</v>
      </c>
      <c r="CB79" s="167"/>
      <c r="CC79" s="96" t="str">
        <f>IFERROR(VLOOKUP($BX79,$E$294:$H$327,I$292,FALSE),"")</f>
        <v/>
      </c>
      <c r="CD79" s="96" t="s">
        <v>436</v>
      </c>
      <c r="CE79" s="167">
        <f>VLOOKUP(CA79,$CA$4:$CB$5,2,FALSE)</f>
        <v>1</v>
      </c>
      <c r="CG79" s="681">
        <f>IF($BX$5=ais_nei,CE79,IF(AND(CA79=$CA$4,BX79=$CC$4),0,BZ79))</f>
        <v>1</v>
      </c>
    </row>
    <row r="80" spans="1:87" x14ac:dyDescent="0.25">
      <c r="A80" s="96">
        <v>72</v>
      </c>
      <c r="B80" s="96" t="str">
        <f t="shared" ref="B80:B81" si="163">$D$79&amp;D80</f>
        <v>Ene 03a</v>
      </c>
      <c r="C80" s="96" t="str">
        <f t="shared" si="159"/>
        <v>Ene 03</v>
      </c>
      <c r="D80" s="163" t="s">
        <v>692</v>
      </c>
      <c r="E80" s="1123" t="s">
        <v>627</v>
      </c>
      <c r="F80" s="775">
        <v>1</v>
      </c>
      <c r="G80" s="775">
        <v>1</v>
      </c>
      <c r="H80" s="775">
        <v>1</v>
      </c>
      <c r="I80" s="775">
        <v>1</v>
      </c>
      <c r="J80" s="775">
        <v>1</v>
      </c>
      <c r="K80" s="775">
        <v>1</v>
      </c>
      <c r="L80" s="775">
        <v>1</v>
      </c>
      <c r="M80" s="775">
        <v>1</v>
      </c>
      <c r="N80" s="775">
        <v>1</v>
      </c>
      <c r="O80" s="775">
        <v>1</v>
      </c>
      <c r="P80" s="775">
        <v>1</v>
      </c>
      <c r="Q80" s="775">
        <v>1</v>
      </c>
      <c r="R80" s="775">
        <v>1</v>
      </c>
      <c r="T80" s="221">
        <f t="shared" si="133"/>
        <v>1</v>
      </c>
      <c r="U80" s="222">
        <f>IF('Assessment Details'!F18=AD_Yes,Poeng!T80,0)</f>
        <v>0</v>
      </c>
      <c r="V80" s="168"/>
      <c r="W80" s="169">
        <f>IF('Assessment Details'!F18=AD_Yes,Poeng!Z80,0)</f>
        <v>0</v>
      </c>
      <c r="X80" s="239"/>
      <c r="Y80" s="1158"/>
      <c r="Z80" s="168">
        <f>VLOOKUP(B80,'Manuell filtrering og justering'!$A$7:$H$107,'Manuell filtrering og justering'!$H$1,FALSE)</f>
        <v>1</v>
      </c>
      <c r="AA80" s="169">
        <f>IF(SUM(U80:V80)&gt;T80,T80,SUM(U80:V80))</f>
        <v>0</v>
      </c>
      <c r="AB80" s="1036">
        <f>IF($AC$5='Manuell filtrering og justering'!$J$2,Z80-W80,(T80-AA80))</f>
        <v>1</v>
      </c>
      <c r="AD80" s="171">
        <f t="shared" si="136"/>
        <v>5.1851851851851859E-3</v>
      </c>
      <c r="AE80" s="171">
        <f t="shared" si="144"/>
        <v>0</v>
      </c>
      <c r="AF80" s="171">
        <f t="shared" si="145"/>
        <v>0</v>
      </c>
      <c r="AG80" s="171">
        <f t="shared" si="146"/>
        <v>0</v>
      </c>
      <c r="AI80" s="172">
        <f>IF(VLOOKUP(E80,'Pre-Assessment Estimator'!$E$11:$Z$228,'Pre-Assessment Estimator'!$G$2,FALSE)&gt;AB80,AB80,VLOOKUP(E80,'Pre-Assessment Estimator'!$E$11:$Z$228,'Pre-Assessment Estimator'!$G$2,FALSE))</f>
        <v>0</v>
      </c>
      <c r="AJ80" s="172">
        <f>IF(VLOOKUP(E80,'Pre-Assessment Estimator'!$E$11:$Z$228,'Pre-Assessment Estimator'!$N$2,FALSE)&gt;AB80,AB80,VLOOKUP(E80,'Pre-Assessment Estimator'!$E$11:$Z$228,'Pre-Assessment Estimator'!$N$2,FALSE))</f>
        <v>0</v>
      </c>
      <c r="AK80" s="172">
        <f>IF(VLOOKUP(E80,'Pre-Assessment Estimator'!$E$11:$Z$228,'Pre-Assessment Estimator'!$U$2,FALSE)&gt;AB80,AB80,VLOOKUP(E80,'Pre-Assessment Estimator'!$E$11:$Z$228,'Pre-Assessment Estimator'!$U$2,FALSE))</f>
        <v>0</v>
      </c>
      <c r="AM80" s="292"/>
      <c r="AN80" s="293"/>
      <c r="AO80" s="293"/>
      <c r="AP80" s="293"/>
      <c r="AQ80" s="294"/>
      <c r="AS80" s="292"/>
      <c r="AT80" s="293"/>
      <c r="AU80" s="293"/>
      <c r="AV80" s="293"/>
      <c r="AW80" s="294"/>
      <c r="AY80" s="188"/>
      <c r="AZ80" s="189"/>
      <c r="BA80" s="189"/>
      <c r="BB80" s="189"/>
      <c r="BC80" s="190"/>
      <c r="BD80" s="182">
        <f t="shared" si="160"/>
        <v>9</v>
      </c>
      <c r="BE80" s="164" t="str">
        <f t="shared" si="139"/>
        <v>N/A</v>
      </c>
      <c r="BF80" s="185"/>
      <c r="BG80" s="182">
        <f t="shared" si="161"/>
        <v>9</v>
      </c>
      <c r="BH80" s="164" t="str">
        <f t="shared" si="141"/>
        <v>N/A</v>
      </c>
      <c r="BI80" s="185"/>
      <c r="BJ80" s="182">
        <f t="shared" si="162"/>
        <v>9</v>
      </c>
      <c r="BK80" s="164" t="str">
        <f t="shared" si="142"/>
        <v>N/A</v>
      </c>
      <c r="BL80" s="185"/>
      <c r="BO80" s="167"/>
      <c r="BP80" s="167"/>
      <c r="BQ80" s="167" t="str">
        <f t="shared" si="157"/>
        <v/>
      </c>
      <c r="BR80" s="167">
        <f t="shared" si="55"/>
        <v>9</v>
      </c>
      <c r="BS80" s="167">
        <f t="shared" si="56"/>
        <v>9</v>
      </c>
      <c r="BT80" s="167">
        <f t="shared" si="57"/>
        <v>9</v>
      </c>
      <c r="BW80" s="167"/>
      <c r="BX80" s="167"/>
      <c r="BY80" s="230"/>
      <c r="BZ80" s="167"/>
      <c r="CA80" s="680"/>
      <c r="CB80" s="167"/>
      <c r="CE80" s="99"/>
      <c r="CG80" s="681"/>
    </row>
    <row r="81" spans="1:85" ht="15.75" thickBot="1" x14ac:dyDescent="0.3">
      <c r="A81" s="96">
        <v>73</v>
      </c>
      <c r="B81" s="96" t="str">
        <f t="shared" si="163"/>
        <v>Ene 03b</v>
      </c>
      <c r="C81" s="96" t="str">
        <f t="shared" si="159"/>
        <v>Ene 03</v>
      </c>
      <c r="D81" s="163" t="s">
        <v>695</v>
      </c>
      <c r="E81" s="1123" t="s">
        <v>628</v>
      </c>
      <c r="F81" s="775">
        <v>1</v>
      </c>
      <c r="G81" s="775">
        <v>1</v>
      </c>
      <c r="H81" s="775">
        <v>1</v>
      </c>
      <c r="I81" s="775">
        <v>1</v>
      </c>
      <c r="J81" s="775">
        <v>1</v>
      </c>
      <c r="K81" s="775">
        <v>1</v>
      </c>
      <c r="L81" s="775">
        <v>1</v>
      </c>
      <c r="M81" s="775">
        <v>1</v>
      </c>
      <c r="N81" s="775">
        <v>1</v>
      </c>
      <c r="O81" s="775">
        <v>1</v>
      </c>
      <c r="P81" s="775">
        <v>1</v>
      </c>
      <c r="Q81" s="775">
        <v>1</v>
      </c>
      <c r="R81" s="775">
        <v>1</v>
      </c>
      <c r="T81" s="221">
        <f t="shared" si="133"/>
        <v>1</v>
      </c>
      <c r="U81" s="222">
        <f>IF(U80=0,1,0)</f>
        <v>1</v>
      </c>
      <c r="V81" s="168"/>
      <c r="W81" s="241">
        <f>IF(W80=0,1,0)</f>
        <v>1</v>
      </c>
      <c r="X81" s="239"/>
      <c r="Y81" s="1158"/>
      <c r="Z81" s="168">
        <f>VLOOKUP(B81,'Manuell filtrering og justering'!$A$7:$H$107,'Manuell filtrering og justering'!$H$1,FALSE)</f>
        <v>1</v>
      </c>
      <c r="AA81" s="169">
        <f>IF(SUM(U81:V81)&gt;T81,T81,SUM(U81:V81))</f>
        <v>1</v>
      </c>
      <c r="AB81" s="1036">
        <f>IF($AC$5='Manuell filtrering og justering'!$J$2,Z81-W81,(T81-AA81))</f>
        <v>0</v>
      </c>
      <c r="AD81" s="171">
        <f t="shared" si="136"/>
        <v>0</v>
      </c>
      <c r="AE81" s="171">
        <f t="shared" si="144"/>
        <v>0</v>
      </c>
      <c r="AF81" s="171">
        <f t="shared" si="145"/>
        <v>0</v>
      </c>
      <c r="AG81" s="171">
        <f t="shared" si="146"/>
        <v>0</v>
      </c>
      <c r="AI81" s="172">
        <f>IF(VLOOKUP(E81,'Pre-Assessment Estimator'!$E$11:$Z$228,'Pre-Assessment Estimator'!$G$2,FALSE)&gt;AB81,AB81,VLOOKUP(E81,'Pre-Assessment Estimator'!$E$11:$Z$228,'Pre-Assessment Estimator'!$G$2,FALSE))</f>
        <v>0</v>
      </c>
      <c r="AJ81" s="172">
        <f>IF(VLOOKUP(E81,'Pre-Assessment Estimator'!$E$11:$Z$228,'Pre-Assessment Estimator'!$N$2,FALSE)&gt;AB81,AB81,VLOOKUP(E81,'Pre-Assessment Estimator'!$E$11:$Z$228,'Pre-Assessment Estimator'!$N$2,FALSE))</f>
        <v>0</v>
      </c>
      <c r="AK81" s="172">
        <f>IF(VLOOKUP(E81,'Pre-Assessment Estimator'!$E$11:$Z$228,'Pre-Assessment Estimator'!$U$2,FALSE)&gt;AB81,AB81,VLOOKUP(E81,'Pre-Assessment Estimator'!$E$11:$Z$228,'Pre-Assessment Estimator'!$U$2,FALSE))</f>
        <v>0</v>
      </c>
      <c r="AM81" s="292"/>
      <c r="AN81" s="293"/>
      <c r="AO81" s="293"/>
      <c r="AP81" s="293"/>
      <c r="AQ81" s="294"/>
      <c r="AS81" s="292"/>
      <c r="AT81" s="293"/>
      <c r="AU81" s="293"/>
      <c r="AV81" s="293"/>
      <c r="AW81" s="294"/>
      <c r="AY81" s="188"/>
      <c r="AZ81" s="189"/>
      <c r="BA81" s="189"/>
      <c r="BB81" s="189"/>
      <c r="BC81" s="190"/>
      <c r="BD81" s="182">
        <f t="shared" si="160"/>
        <v>9</v>
      </c>
      <c r="BE81" s="164" t="str">
        <f t="shared" si="139"/>
        <v>N/A</v>
      </c>
      <c r="BF81" s="185"/>
      <c r="BG81" s="182">
        <f t="shared" si="161"/>
        <v>9</v>
      </c>
      <c r="BH81" s="164" t="str">
        <f t="shared" si="141"/>
        <v>N/A</v>
      </c>
      <c r="BI81" s="185"/>
      <c r="BJ81" s="182">
        <f t="shared" si="162"/>
        <v>9</v>
      </c>
      <c r="BK81" s="164" t="str">
        <f t="shared" si="142"/>
        <v>N/A</v>
      </c>
      <c r="BL81" s="185"/>
      <c r="BO81" s="167"/>
      <c r="BP81" s="167"/>
      <c r="BQ81" s="167" t="str">
        <f t="shared" si="157"/>
        <v/>
      </c>
      <c r="BR81" s="167">
        <f t="shared" si="55"/>
        <v>9</v>
      </c>
      <c r="BS81" s="167">
        <f t="shared" si="56"/>
        <v>9</v>
      </c>
      <c r="BT81" s="167">
        <f t="shared" si="57"/>
        <v>9</v>
      </c>
      <c r="BW81" s="167"/>
      <c r="BX81" s="167"/>
      <c r="BY81" s="230"/>
      <c r="BZ81" s="167"/>
      <c r="CA81" s="680"/>
      <c r="CB81" s="167"/>
      <c r="CE81" s="99"/>
      <c r="CG81" s="681"/>
    </row>
    <row r="82" spans="1:85" x14ac:dyDescent="0.25">
      <c r="A82" s="96">
        <v>74</v>
      </c>
      <c r="D82" s="701" t="s">
        <v>137</v>
      </c>
      <c r="E82" s="700"/>
      <c r="F82" s="934"/>
      <c r="G82" s="934"/>
      <c r="H82" s="934"/>
      <c r="I82" s="934"/>
      <c r="J82" s="934"/>
      <c r="K82" s="934"/>
      <c r="L82" s="934"/>
      <c r="M82" s="934"/>
      <c r="N82" s="934"/>
      <c r="O82" s="934"/>
      <c r="P82" s="934"/>
      <c r="Q82" s="934"/>
      <c r="R82" s="934"/>
      <c r="T82" s="956"/>
      <c r="U82" s="701"/>
      <c r="V82" s="700"/>
      <c r="W82" s="1100"/>
      <c r="X82" s="700"/>
      <c r="Y82" s="955"/>
      <c r="Z82" s="168"/>
      <c r="AA82" s="956"/>
      <c r="AB82" s="957"/>
      <c r="AD82" s="171">
        <f t="shared" si="136"/>
        <v>0</v>
      </c>
      <c r="AE82" s="960"/>
      <c r="AF82" s="960"/>
      <c r="AG82" s="960"/>
      <c r="AI82" s="720"/>
      <c r="AJ82" s="720"/>
      <c r="AK82" s="720"/>
      <c r="AM82" s="291"/>
      <c r="AN82" s="181"/>
      <c r="AO82" s="181"/>
      <c r="AP82" s="181"/>
      <c r="AQ82" s="186"/>
      <c r="AS82" s="291"/>
      <c r="AT82" s="181"/>
      <c r="AU82" s="181"/>
      <c r="AV82" s="181"/>
      <c r="AW82" s="186"/>
      <c r="AY82" s="182"/>
      <c r="AZ82" s="183"/>
      <c r="BA82" s="183"/>
      <c r="BB82" s="183"/>
      <c r="BC82" s="187"/>
      <c r="BD82" s="182">
        <f t="shared" si="160"/>
        <v>9</v>
      </c>
      <c r="BE82" s="164" t="str">
        <f t="shared" si="139"/>
        <v>N/A</v>
      </c>
      <c r="BF82" s="185"/>
      <c r="BG82" s="182">
        <f t="shared" si="161"/>
        <v>9</v>
      </c>
      <c r="BH82" s="164" t="str">
        <f t="shared" si="141"/>
        <v>N/A</v>
      </c>
      <c r="BI82" s="185"/>
      <c r="BJ82" s="182">
        <f t="shared" si="162"/>
        <v>9</v>
      </c>
      <c r="BK82" s="164" t="str">
        <f t="shared" si="142"/>
        <v>N/A</v>
      </c>
      <c r="BL82" s="185"/>
      <c r="BO82" s="167"/>
      <c r="BP82" s="167"/>
      <c r="BQ82" s="167" t="str">
        <f t="shared" si="157"/>
        <v/>
      </c>
      <c r="BR82" s="167">
        <f t="shared" si="55"/>
        <v>9</v>
      </c>
      <c r="BS82" s="167">
        <f t="shared" si="56"/>
        <v>9</v>
      </c>
      <c r="BT82" s="167">
        <f t="shared" si="57"/>
        <v>9</v>
      </c>
      <c r="BW82" s="167" t="str">
        <f>D82</f>
        <v>Ene 04</v>
      </c>
      <c r="BX82" s="167" t="str">
        <f>IFERROR(VLOOKUP($E82,'Pre-Assessment Estimator'!$E$11:$AB$228,'Pre-Assessment Estimator'!AB$2,FALSE),"")</f>
        <v/>
      </c>
      <c r="BY82" s="167" t="str">
        <f>IFERROR(VLOOKUP($E82,'Pre-Assessment Estimator'!$E$11:$AI$228,'Pre-Assessment Estimator'!AI$2,FALSE),"")</f>
        <v/>
      </c>
      <c r="BZ82" s="167" t="str">
        <f>IFERROR(VLOOKUP($BX82,$E$294:$H$327,F$292,FALSE),"")</f>
        <v/>
      </c>
      <c r="CA82" s="167" t="str">
        <f>IFERROR(VLOOKUP($BX82,$E$294:$H$327,G$292,FALSE),"")</f>
        <v/>
      </c>
      <c r="CB82" s="167"/>
      <c r="CC82" s="96" t="str">
        <f>IFERROR(VLOOKUP($BX82,$E$294:$H$327,I$292,FALSE),"")</f>
        <v/>
      </c>
    </row>
    <row r="83" spans="1:85" x14ac:dyDescent="0.25">
      <c r="A83" s="96">
        <v>75</v>
      </c>
      <c r="B83" s="137" t="str">
        <f>D83</f>
        <v>Ene 05</v>
      </c>
      <c r="C83" s="137" t="str">
        <f>B83</f>
        <v>Ene 05</v>
      </c>
      <c r="D83" s="834" t="s">
        <v>138</v>
      </c>
      <c r="E83" s="832" t="s">
        <v>129</v>
      </c>
      <c r="F83" s="933">
        <f t="shared" ref="F83:R83" si="164">SUM(F84:F85)</f>
        <v>2</v>
      </c>
      <c r="G83" s="933">
        <f t="shared" si="164"/>
        <v>2</v>
      </c>
      <c r="H83" s="933">
        <f t="shared" si="164"/>
        <v>0</v>
      </c>
      <c r="I83" s="933">
        <f t="shared" si="164"/>
        <v>2</v>
      </c>
      <c r="J83" s="933">
        <f t="shared" si="164"/>
        <v>2</v>
      </c>
      <c r="K83" s="933">
        <f t="shared" si="164"/>
        <v>2</v>
      </c>
      <c r="L83" s="933">
        <f t="shared" si="164"/>
        <v>2</v>
      </c>
      <c r="M83" s="933">
        <f t="shared" si="164"/>
        <v>2</v>
      </c>
      <c r="N83" s="933">
        <f t="shared" si="164"/>
        <v>2</v>
      </c>
      <c r="O83" s="933">
        <f t="shared" si="164"/>
        <v>2</v>
      </c>
      <c r="P83" s="933">
        <f t="shared" si="164"/>
        <v>2</v>
      </c>
      <c r="Q83" s="933">
        <f t="shared" ref="Q83" si="165">SUM(Q84:Q85)</f>
        <v>2</v>
      </c>
      <c r="R83" s="933">
        <f t="shared" si="164"/>
        <v>2</v>
      </c>
      <c r="T83" s="963">
        <f t="shared" ref="T83:T94" si="166">HLOOKUP($E$6,$F$9:$R$231,$A83,FALSE)</f>
        <v>2</v>
      </c>
      <c r="U83" s="222">
        <f>U84+U85</f>
        <v>0</v>
      </c>
      <c r="V83" s="230"/>
      <c r="W83" s="230"/>
      <c r="X83" s="230">
        <f>'Manuell filtrering og justering'!E33</f>
        <v>0</v>
      </c>
      <c r="Y83" s="230"/>
      <c r="Z83" s="958">
        <f t="shared" ref="Z83" si="167">SUM(Z84:Z85)</f>
        <v>0</v>
      </c>
      <c r="AA83" s="963">
        <f t="shared" ref="AA83:AA94" si="168">IF(SUM(U83:Y83)&gt;T83,T83,SUM(U83:Y83))</f>
        <v>0</v>
      </c>
      <c r="AB83" s="1066">
        <f t="shared" ref="AB83" si="169">SUM(AB84:AB85)</f>
        <v>2</v>
      </c>
      <c r="AD83" s="171">
        <f t="shared" si="136"/>
        <v>1.0370370370370372E-2</v>
      </c>
      <c r="AE83" s="921">
        <f>SUM(AE84:AE85)</f>
        <v>0</v>
      </c>
      <c r="AF83" s="921">
        <f t="shared" ref="AF83:AG83" si="170">SUM(AF84:AF85)</f>
        <v>0</v>
      </c>
      <c r="AG83" s="921">
        <f t="shared" si="170"/>
        <v>0</v>
      </c>
      <c r="AI83" s="958">
        <f t="shared" ref="AI83:AK83" si="171">SUM(AI84:AI85)</f>
        <v>0</v>
      </c>
      <c r="AJ83" s="958">
        <f t="shared" si="171"/>
        <v>0</v>
      </c>
      <c r="AK83" s="958">
        <f t="shared" si="171"/>
        <v>0</v>
      </c>
      <c r="AL83" s="96" t="s">
        <v>425</v>
      </c>
      <c r="AM83" s="292"/>
      <c r="AN83" s="293"/>
      <c r="AO83" s="293"/>
      <c r="AP83" s="293"/>
      <c r="AQ83" s="294"/>
      <c r="AS83" s="292"/>
      <c r="AT83" s="293"/>
      <c r="AU83" s="293"/>
      <c r="AV83" s="293"/>
      <c r="AW83" s="294"/>
      <c r="AY83" s="188"/>
      <c r="AZ83" s="189"/>
      <c r="BA83" s="189"/>
      <c r="BB83" s="189"/>
      <c r="BC83" s="190"/>
      <c r="BD83" s="182">
        <f t="shared" si="160"/>
        <v>9</v>
      </c>
      <c r="BE83" s="164" t="str">
        <f t="shared" si="139"/>
        <v>N/A</v>
      </c>
      <c r="BF83" s="185"/>
      <c r="BG83" s="182">
        <f t="shared" si="161"/>
        <v>9</v>
      </c>
      <c r="BH83" s="164" t="str">
        <f t="shared" si="141"/>
        <v>N/A</v>
      </c>
      <c r="BI83" s="185"/>
      <c r="BJ83" s="182">
        <f t="shared" si="162"/>
        <v>9</v>
      </c>
      <c r="BK83" s="164" t="str">
        <f t="shared" si="142"/>
        <v>N/A</v>
      </c>
      <c r="BL83" s="185"/>
      <c r="BO83" s="167"/>
      <c r="BP83" s="167"/>
      <c r="BQ83" s="167" t="str">
        <f t="shared" si="157"/>
        <v/>
      </c>
      <c r="BR83" s="167">
        <f t="shared" si="55"/>
        <v>9</v>
      </c>
      <c r="BS83" s="167">
        <f t="shared" si="56"/>
        <v>9</v>
      </c>
      <c r="BT83" s="167">
        <f t="shared" si="57"/>
        <v>9</v>
      </c>
      <c r="BW83" s="167" t="str">
        <f>D83</f>
        <v>Ene 05</v>
      </c>
      <c r="BX83" s="167" t="str">
        <f>IFERROR(VLOOKUP($E83,'Pre-Assessment Estimator'!$E$11:$AB$228,'Pre-Assessment Estimator'!AB$2,FALSE),"")</f>
        <v>No</v>
      </c>
      <c r="BY83" s="230" t="str">
        <f>IFERROR(VLOOKUP($E83,'Pre-Assessment Estimator'!$E$11:$AI$228,'Pre-Assessment Estimator'!AI$2,FALSE),"")</f>
        <v>Ja</v>
      </c>
      <c r="BZ83" s="167">
        <f>IFERROR(VLOOKUP($BX83,$E$294:$H$327,F$292,FALSE),"")</f>
        <v>1</v>
      </c>
      <c r="CA83" s="680" t="s">
        <v>430</v>
      </c>
      <c r="CB83" s="167"/>
      <c r="CC83" s="96" t="str">
        <f>IFERROR(VLOOKUP($BX83,$E$294:$H$327,I$292,FALSE),"")</f>
        <v/>
      </c>
      <c r="CD83" s="96" t="s">
        <v>403</v>
      </c>
      <c r="CE83" s="167">
        <f>VLOOKUP(CA83,$CA$4:$CB$5,2,FALSE)</f>
        <v>1</v>
      </c>
      <c r="CG83" s="681">
        <f>IF($BX$5=ais_nei,CE83,IF(AND(CA83=$CA$4,BX83=$CC$4),0,BZ83))</f>
        <v>1</v>
      </c>
    </row>
    <row r="84" spans="1:85" x14ac:dyDescent="0.25">
      <c r="A84" s="96">
        <v>76</v>
      </c>
      <c r="B84" s="96" t="str">
        <f t="shared" ref="B84:B85" si="172">$D$83&amp;D84</f>
        <v>Ene 05a</v>
      </c>
      <c r="C84" s="96" t="str">
        <f t="shared" si="159"/>
        <v>Ene 05</v>
      </c>
      <c r="D84" s="163" t="s">
        <v>692</v>
      </c>
      <c r="E84" s="1123" t="s">
        <v>629</v>
      </c>
      <c r="F84" s="775">
        <v>1</v>
      </c>
      <c r="G84" s="775">
        <v>1</v>
      </c>
      <c r="H84" s="1022">
        <v>0</v>
      </c>
      <c r="I84" s="775">
        <v>1</v>
      </c>
      <c r="J84" s="775">
        <v>1</v>
      </c>
      <c r="K84" s="775">
        <v>1</v>
      </c>
      <c r="L84" s="775">
        <v>1</v>
      </c>
      <c r="M84" s="775">
        <v>1</v>
      </c>
      <c r="N84" s="775">
        <v>1</v>
      </c>
      <c r="O84" s="775">
        <v>1</v>
      </c>
      <c r="P84" s="775">
        <v>1</v>
      </c>
      <c r="Q84" s="775">
        <v>1</v>
      </c>
      <c r="R84" s="775">
        <v>1</v>
      </c>
      <c r="T84" s="221">
        <f t="shared" si="166"/>
        <v>1</v>
      </c>
      <c r="U84" s="222">
        <f>IF(AD_refrig=AD_no,T84,0)</f>
        <v>0</v>
      </c>
      <c r="V84" s="167"/>
      <c r="W84" s="167"/>
      <c r="X84" s="167"/>
      <c r="Y84" s="169">
        <f>IF($Y$4=$Y$6,T84,0)</f>
        <v>0</v>
      </c>
      <c r="Z84" s="168">
        <f>VLOOKUP(B84,'Manuell filtrering og justering'!$A$7:$H$107,'Manuell filtrering og justering'!$H$1,FALSE)</f>
        <v>0</v>
      </c>
      <c r="AA84" s="169">
        <f t="shared" si="168"/>
        <v>0</v>
      </c>
      <c r="AB84" s="170">
        <f>IF($AC$5='Manuell filtrering og justering'!$J$2,Z84,(T84-AA84))</f>
        <v>1</v>
      </c>
      <c r="AD84" s="171">
        <f t="shared" si="136"/>
        <v>5.1851851851851859E-3</v>
      </c>
      <c r="AE84" s="171">
        <f t="shared" si="144"/>
        <v>0</v>
      </c>
      <c r="AF84" s="171">
        <f t="shared" si="145"/>
        <v>0</v>
      </c>
      <c r="AG84" s="171">
        <f t="shared" si="146"/>
        <v>0</v>
      </c>
      <c r="AI84" s="172">
        <f>IF(VLOOKUP(E84,'Pre-Assessment Estimator'!$E$11:$Z$228,'Pre-Assessment Estimator'!$G$2,FALSE)&gt;AB84,AB84,VLOOKUP(E84,'Pre-Assessment Estimator'!$E$11:$Z$228,'Pre-Assessment Estimator'!$G$2,FALSE))</f>
        <v>0</v>
      </c>
      <c r="AJ84" s="172">
        <f>IF(VLOOKUP(E84,'Pre-Assessment Estimator'!$E$11:$Z$228,'Pre-Assessment Estimator'!$N$2,FALSE)&gt;AB84,AB84,VLOOKUP(E84,'Pre-Assessment Estimator'!$E$11:$Z$228,'Pre-Assessment Estimator'!$N$2,FALSE))</f>
        <v>0</v>
      </c>
      <c r="AK84" s="172">
        <f>IF(VLOOKUP(E84,'Pre-Assessment Estimator'!$E$11:$Z$228,'Pre-Assessment Estimator'!$U$2,FALSE)&gt;AB84,AB84,VLOOKUP(E84,'Pre-Assessment Estimator'!$E$11:$Z$228,'Pre-Assessment Estimator'!$U$2,FALSE))</f>
        <v>0</v>
      </c>
      <c r="AM84" s="292"/>
      <c r="AN84" s="293"/>
      <c r="AO84" s="293"/>
      <c r="AP84" s="293"/>
      <c r="AQ84" s="294"/>
      <c r="AS84" s="292"/>
      <c r="AT84" s="293"/>
      <c r="AU84" s="293"/>
      <c r="AV84" s="293"/>
      <c r="AW84" s="294"/>
      <c r="AY84" s="188"/>
      <c r="AZ84" s="189"/>
      <c r="BA84" s="189"/>
      <c r="BB84" s="189"/>
      <c r="BC84" s="190"/>
      <c r="BD84" s="182">
        <f t="shared" si="160"/>
        <v>9</v>
      </c>
      <c r="BE84" s="164" t="str">
        <f t="shared" si="139"/>
        <v>N/A</v>
      </c>
      <c r="BF84" s="185"/>
      <c r="BG84" s="182">
        <f t="shared" si="161"/>
        <v>9</v>
      </c>
      <c r="BH84" s="164" t="str">
        <f t="shared" si="141"/>
        <v>N/A</v>
      </c>
      <c r="BI84" s="185"/>
      <c r="BJ84" s="182">
        <f t="shared" si="162"/>
        <v>9</v>
      </c>
      <c r="BK84" s="164" t="str">
        <f t="shared" si="142"/>
        <v>N/A</v>
      </c>
      <c r="BL84" s="185"/>
      <c r="BO84" s="167"/>
      <c r="BP84" s="167"/>
      <c r="BQ84" s="167" t="str">
        <f t="shared" si="157"/>
        <v/>
      </c>
      <c r="BR84" s="167">
        <f t="shared" si="55"/>
        <v>9</v>
      </c>
      <c r="BS84" s="167">
        <f t="shared" si="56"/>
        <v>9</v>
      </c>
      <c r="BT84" s="167">
        <f t="shared" si="57"/>
        <v>9</v>
      </c>
      <c r="BW84" s="167"/>
      <c r="BX84" s="167"/>
      <c r="BY84" s="230"/>
      <c r="BZ84" s="167"/>
      <c r="CA84" s="680"/>
      <c r="CB84" s="167"/>
      <c r="CE84" s="99"/>
      <c r="CG84" s="681"/>
    </row>
    <row r="85" spans="1:85" x14ac:dyDescent="0.25">
      <c r="A85" s="96">
        <v>77</v>
      </c>
      <c r="B85" s="96" t="str">
        <f t="shared" si="172"/>
        <v>Ene 05b</v>
      </c>
      <c r="C85" s="96" t="str">
        <f t="shared" si="159"/>
        <v>Ene 05</v>
      </c>
      <c r="D85" s="163" t="s">
        <v>695</v>
      </c>
      <c r="E85" s="1123" t="s">
        <v>630</v>
      </c>
      <c r="F85" s="775">
        <v>1</v>
      </c>
      <c r="G85" s="775">
        <v>1</v>
      </c>
      <c r="H85" s="1022">
        <v>0</v>
      </c>
      <c r="I85" s="775">
        <v>1</v>
      </c>
      <c r="J85" s="775">
        <v>1</v>
      </c>
      <c r="K85" s="775">
        <v>1</v>
      </c>
      <c r="L85" s="775">
        <v>1</v>
      </c>
      <c r="M85" s="775">
        <v>1</v>
      </c>
      <c r="N85" s="775">
        <v>1</v>
      </c>
      <c r="O85" s="775">
        <v>1</v>
      </c>
      <c r="P85" s="775">
        <v>1</v>
      </c>
      <c r="Q85" s="775">
        <v>1</v>
      </c>
      <c r="R85" s="775">
        <v>1</v>
      </c>
      <c r="T85" s="221">
        <f t="shared" si="166"/>
        <v>1</v>
      </c>
      <c r="U85" s="222">
        <f>IF(AD_refrig=AD_no,T85,0)</f>
        <v>0</v>
      </c>
      <c r="V85" s="167"/>
      <c r="W85" s="167"/>
      <c r="X85" s="167"/>
      <c r="Y85" s="169">
        <f>IF($Y$4=$Y$6,T85,0)</f>
        <v>0</v>
      </c>
      <c r="Z85" s="168">
        <f>VLOOKUP(B85,'Manuell filtrering og justering'!$A$7:$H$107,'Manuell filtrering og justering'!$H$1,FALSE)</f>
        <v>0</v>
      </c>
      <c r="AA85" s="169">
        <f t="shared" si="168"/>
        <v>0</v>
      </c>
      <c r="AB85" s="170">
        <f>IF($AC$5='Manuell filtrering og justering'!$J$2,Z85,(T85-AA85))</f>
        <v>1</v>
      </c>
      <c r="AD85" s="171">
        <f t="shared" si="136"/>
        <v>5.1851851851851859E-3</v>
      </c>
      <c r="AE85" s="171">
        <f t="shared" si="144"/>
        <v>0</v>
      </c>
      <c r="AF85" s="171">
        <f t="shared" si="145"/>
        <v>0</v>
      </c>
      <c r="AG85" s="171">
        <f t="shared" si="146"/>
        <v>0</v>
      </c>
      <c r="AI85" s="172">
        <f>IF(VLOOKUP(E85,'Pre-Assessment Estimator'!$E$11:$Z$228,'Pre-Assessment Estimator'!$G$2,FALSE)&gt;AB85,AB85,VLOOKUP(E85,'Pre-Assessment Estimator'!$E$11:$Z$228,'Pre-Assessment Estimator'!$G$2,FALSE))</f>
        <v>0</v>
      </c>
      <c r="AJ85" s="172">
        <f>IF(VLOOKUP(E85,'Pre-Assessment Estimator'!$E$11:$Z$228,'Pre-Assessment Estimator'!$N$2,FALSE)&gt;AB85,AB85,VLOOKUP(E85,'Pre-Assessment Estimator'!$E$11:$Z$228,'Pre-Assessment Estimator'!$N$2,FALSE))</f>
        <v>0</v>
      </c>
      <c r="AK85" s="172">
        <f>IF(VLOOKUP(E85,'Pre-Assessment Estimator'!$E$11:$Z$228,'Pre-Assessment Estimator'!$U$2,FALSE)&gt;AB85,AB85,VLOOKUP(E85,'Pre-Assessment Estimator'!$E$11:$Z$228,'Pre-Assessment Estimator'!$U$2,FALSE))</f>
        <v>0</v>
      </c>
      <c r="AM85" s="292"/>
      <c r="AN85" s="293"/>
      <c r="AO85" s="293"/>
      <c r="AP85" s="293"/>
      <c r="AQ85" s="294"/>
      <c r="AS85" s="292"/>
      <c r="AT85" s="293"/>
      <c r="AU85" s="293"/>
      <c r="AV85" s="293"/>
      <c r="AW85" s="294"/>
      <c r="AY85" s="188"/>
      <c r="AZ85" s="189"/>
      <c r="BA85" s="189"/>
      <c r="BB85" s="189"/>
      <c r="BC85" s="190"/>
      <c r="BD85" s="182">
        <f t="shared" si="160"/>
        <v>9</v>
      </c>
      <c r="BE85" s="164" t="str">
        <f t="shared" si="139"/>
        <v>N/A</v>
      </c>
      <c r="BF85" s="185"/>
      <c r="BG85" s="182">
        <f t="shared" si="161"/>
        <v>9</v>
      </c>
      <c r="BH85" s="164" t="str">
        <f t="shared" si="141"/>
        <v>N/A</v>
      </c>
      <c r="BI85" s="185"/>
      <c r="BJ85" s="182">
        <f t="shared" si="162"/>
        <v>9</v>
      </c>
      <c r="BK85" s="164" t="str">
        <f t="shared" si="142"/>
        <v>N/A</v>
      </c>
      <c r="BL85" s="185"/>
      <c r="BO85" s="167"/>
      <c r="BP85" s="167"/>
      <c r="BQ85" s="167" t="str">
        <f t="shared" si="157"/>
        <v/>
      </c>
      <c r="BR85" s="167">
        <f t="shared" si="55"/>
        <v>9</v>
      </c>
      <c r="BS85" s="167">
        <f t="shared" si="56"/>
        <v>9</v>
      </c>
      <c r="BT85" s="167">
        <f t="shared" si="57"/>
        <v>9</v>
      </c>
      <c r="BW85" s="167"/>
      <c r="BX85" s="167"/>
      <c r="BY85" s="230"/>
      <c r="BZ85" s="167"/>
      <c r="CA85" s="680"/>
      <c r="CB85" s="167"/>
      <c r="CE85" s="99"/>
      <c r="CG85" s="681"/>
    </row>
    <row r="86" spans="1:85" x14ac:dyDescent="0.25">
      <c r="A86" s="96">
        <v>78</v>
      </c>
      <c r="B86" s="137" t="str">
        <f>D86</f>
        <v>Ene 06</v>
      </c>
      <c r="C86" s="137" t="str">
        <f>B86</f>
        <v>Ene 06</v>
      </c>
      <c r="D86" s="834" t="s">
        <v>139</v>
      </c>
      <c r="E86" s="832" t="s">
        <v>130</v>
      </c>
      <c r="F86" s="933">
        <f t="shared" ref="F86:R86" si="173">SUM(F87:F89)</f>
        <v>3</v>
      </c>
      <c r="G86" s="933">
        <f t="shared" si="173"/>
        <v>3</v>
      </c>
      <c r="H86" s="933">
        <f t="shared" si="173"/>
        <v>3</v>
      </c>
      <c r="I86" s="933">
        <f t="shared" si="173"/>
        <v>3</v>
      </c>
      <c r="J86" s="933">
        <f t="shared" si="173"/>
        <v>3</v>
      </c>
      <c r="K86" s="933">
        <f t="shared" si="173"/>
        <v>3</v>
      </c>
      <c r="L86" s="933">
        <f t="shared" si="173"/>
        <v>3</v>
      </c>
      <c r="M86" s="933">
        <f t="shared" si="173"/>
        <v>3</v>
      </c>
      <c r="N86" s="933">
        <f t="shared" si="173"/>
        <v>3</v>
      </c>
      <c r="O86" s="933">
        <f t="shared" si="173"/>
        <v>3</v>
      </c>
      <c r="P86" s="933">
        <f t="shared" si="173"/>
        <v>3</v>
      </c>
      <c r="Q86" s="933">
        <f t="shared" ref="Q86" si="174">SUM(Q87:Q89)</f>
        <v>3</v>
      </c>
      <c r="R86" s="933">
        <f t="shared" si="173"/>
        <v>3</v>
      </c>
      <c r="T86" s="963">
        <f t="shared" si="166"/>
        <v>3</v>
      </c>
      <c r="U86" s="230">
        <f>U87+U88+U89</f>
        <v>0</v>
      </c>
      <c r="V86" s="230"/>
      <c r="W86" s="230"/>
      <c r="X86" s="230">
        <f>'Manuell filtrering og justering'!E34</f>
        <v>0</v>
      </c>
      <c r="Y86" s="230"/>
      <c r="Z86" s="958">
        <f t="shared" ref="Z86" si="175">SUM(Z87:Z89)</f>
        <v>3</v>
      </c>
      <c r="AA86" s="963">
        <f t="shared" si="168"/>
        <v>0</v>
      </c>
      <c r="AB86" s="1066">
        <f>SUM(AB87:AB89)</f>
        <v>3</v>
      </c>
      <c r="AD86" s="171">
        <f t="shared" si="136"/>
        <v>1.5555555555555559E-2</v>
      </c>
      <c r="AE86" s="921">
        <f>SUM(AE87:AE89)</f>
        <v>0</v>
      </c>
      <c r="AF86" s="921">
        <f t="shared" ref="AF86:AG86" si="176">SUM(AF87:AF89)</f>
        <v>0</v>
      </c>
      <c r="AG86" s="921">
        <f t="shared" si="176"/>
        <v>0</v>
      </c>
      <c r="AI86" s="958">
        <f t="shared" ref="AI86:AK86" si="177">SUM(AI87:AI89)</f>
        <v>0</v>
      </c>
      <c r="AJ86" s="958">
        <f t="shared" si="177"/>
        <v>0</v>
      </c>
      <c r="AK86" s="958">
        <f t="shared" si="177"/>
        <v>0</v>
      </c>
      <c r="AM86" s="292"/>
      <c r="AN86" s="293"/>
      <c r="AO86" s="293"/>
      <c r="AP86" s="293"/>
      <c r="AQ86" s="294"/>
      <c r="AS86" s="292"/>
      <c r="AT86" s="293"/>
      <c r="AU86" s="293"/>
      <c r="AV86" s="293"/>
      <c r="AW86" s="294"/>
      <c r="AY86" s="188"/>
      <c r="AZ86" s="189"/>
      <c r="BA86" s="189"/>
      <c r="BB86" s="189"/>
      <c r="BC86" s="190"/>
      <c r="BD86" s="182">
        <f t="shared" si="160"/>
        <v>9</v>
      </c>
      <c r="BE86" s="164" t="str">
        <f t="shared" si="139"/>
        <v>N/A</v>
      </c>
      <c r="BF86" s="185"/>
      <c r="BG86" s="182">
        <f t="shared" si="161"/>
        <v>9</v>
      </c>
      <c r="BH86" s="164" t="str">
        <f t="shared" si="141"/>
        <v>N/A</v>
      </c>
      <c r="BI86" s="185"/>
      <c r="BJ86" s="182">
        <f t="shared" si="162"/>
        <v>9</v>
      </c>
      <c r="BK86" s="164" t="str">
        <f t="shared" si="142"/>
        <v>N/A</v>
      </c>
      <c r="BL86" s="185"/>
      <c r="BO86" s="167"/>
      <c r="BP86" s="167"/>
      <c r="BQ86" s="167" t="str">
        <f t="shared" si="157"/>
        <v/>
      </c>
      <c r="BR86" s="167">
        <f t="shared" si="55"/>
        <v>9</v>
      </c>
      <c r="BS86" s="167">
        <f t="shared" si="56"/>
        <v>9</v>
      </c>
      <c r="BT86" s="167">
        <f t="shared" si="57"/>
        <v>9</v>
      </c>
      <c r="BW86" s="167" t="str">
        <f>D86</f>
        <v>Ene 06</v>
      </c>
      <c r="BX86" s="167" t="str">
        <f>IFERROR(VLOOKUP($E86,'Pre-Assessment Estimator'!$E$11:$AB$228,'Pre-Assessment Estimator'!AB$2,FALSE),"")</f>
        <v>No</v>
      </c>
      <c r="BY86" s="167">
        <f>IFERROR(VLOOKUP($E86,'Pre-Assessment Estimator'!$E$11:$AI$228,'Pre-Assessment Estimator'!AI$2,FALSE),"")</f>
        <v>0</v>
      </c>
      <c r="BZ86" s="167">
        <f>IFERROR(VLOOKUP($BX86,$E$294:$H$327,F$292,FALSE),"")</f>
        <v>1</v>
      </c>
      <c r="CA86" s="167">
        <f>IFERROR(VLOOKUP($BX86,$E$294:$H$327,G$292,FALSE),"")</f>
        <v>0</v>
      </c>
      <c r="CB86" s="167"/>
      <c r="CC86" s="96" t="str">
        <f>IFERROR(VLOOKUP($BX86,$E$294:$H$327,I$292,FALSE),"")</f>
        <v/>
      </c>
    </row>
    <row r="87" spans="1:85" x14ac:dyDescent="0.25">
      <c r="A87" s="96">
        <v>79</v>
      </c>
      <c r="B87" s="96" t="str">
        <f t="shared" ref="B87:B89" si="178">$D$86&amp;D87</f>
        <v>Ene 06a</v>
      </c>
      <c r="C87" s="96" t="str">
        <f t="shared" si="159"/>
        <v>Ene 06</v>
      </c>
      <c r="D87" s="163" t="s">
        <v>692</v>
      </c>
      <c r="E87" s="1123" t="s">
        <v>891</v>
      </c>
      <c r="F87" s="775">
        <v>1</v>
      </c>
      <c r="G87" s="775">
        <v>1</v>
      </c>
      <c r="H87" s="775">
        <v>1</v>
      </c>
      <c r="I87" s="775">
        <v>1</v>
      </c>
      <c r="J87" s="775">
        <v>1</v>
      </c>
      <c r="K87" s="775">
        <v>1</v>
      </c>
      <c r="L87" s="775">
        <v>1</v>
      </c>
      <c r="M87" s="775">
        <v>1</v>
      </c>
      <c r="N87" s="775">
        <v>1</v>
      </c>
      <c r="O87" s="775">
        <v>1</v>
      </c>
      <c r="P87" s="775">
        <v>1</v>
      </c>
      <c r="Q87" s="775">
        <v>1</v>
      </c>
      <c r="R87" s="775">
        <v>1</v>
      </c>
      <c r="T87" s="221">
        <f t="shared" si="166"/>
        <v>1</v>
      </c>
      <c r="U87" s="222">
        <f>IF(AD_Trans=AD_no,Poeng!T87,0)</f>
        <v>0</v>
      </c>
      <c r="V87" s="167"/>
      <c r="W87" s="167"/>
      <c r="X87" s="167"/>
      <c r="Y87" s="168"/>
      <c r="Z87" s="168">
        <f>VLOOKUP(B87,'Manuell filtrering og justering'!$A$7:$H$107,'Manuell filtrering og justering'!$H$1,FALSE)</f>
        <v>1</v>
      </c>
      <c r="AA87" s="169">
        <f t="shared" si="168"/>
        <v>0</v>
      </c>
      <c r="AB87" s="170">
        <f>IF($AC$5='Manuell filtrering og justering'!$J$2,Z87,(T87-AA87))</f>
        <v>1</v>
      </c>
      <c r="AD87" s="171">
        <f t="shared" si="136"/>
        <v>5.1851851851851859E-3</v>
      </c>
      <c r="AE87" s="171">
        <f t="shared" si="144"/>
        <v>0</v>
      </c>
      <c r="AF87" s="171">
        <f t="shared" si="145"/>
        <v>0</v>
      </c>
      <c r="AG87" s="171">
        <f t="shared" si="146"/>
        <v>0</v>
      </c>
      <c r="AI87" s="172">
        <f>IF(VLOOKUP(E87,'Pre-Assessment Estimator'!$E$11:$Z$228,'Pre-Assessment Estimator'!$G$2,FALSE)&gt;AB87,AB87,VLOOKUP(E87,'Pre-Assessment Estimator'!$E$11:$Z$228,'Pre-Assessment Estimator'!$G$2,FALSE))</f>
        <v>0</v>
      </c>
      <c r="AJ87" s="172">
        <f>IF(VLOOKUP(E87,'Pre-Assessment Estimator'!$E$11:$Z$228,'Pre-Assessment Estimator'!$N$2,FALSE)&gt;AB87,AB87,VLOOKUP(E87,'Pre-Assessment Estimator'!$E$11:$Z$228,'Pre-Assessment Estimator'!$N$2,FALSE))</f>
        <v>0</v>
      </c>
      <c r="AK87" s="172">
        <f>IF(VLOOKUP(E87,'Pre-Assessment Estimator'!$E$11:$Z$228,'Pre-Assessment Estimator'!$U$2,FALSE)&gt;AB87,AB87,VLOOKUP(E87,'Pre-Assessment Estimator'!$E$11:$Z$228,'Pre-Assessment Estimator'!$U$2,FALSE))</f>
        <v>0</v>
      </c>
      <c r="AM87" s="292"/>
      <c r="AN87" s="293"/>
      <c r="AO87" s="293"/>
      <c r="AP87" s="293"/>
      <c r="AQ87" s="294"/>
      <c r="AS87" s="292"/>
      <c r="AT87" s="293"/>
      <c r="AU87" s="293"/>
      <c r="AV87" s="293"/>
      <c r="AW87" s="294"/>
      <c r="AY87" s="188"/>
      <c r="AZ87" s="189"/>
      <c r="BA87" s="189"/>
      <c r="BB87" s="189"/>
      <c r="BC87" s="190"/>
      <c r="BD87" s="182">
        <f t="shared" si="160"/>
        <v>9</v>
      </c>
      <c r="BE87" s="164" t="str">
        <f t="shared" si="139"/>
        <v>N/A</v>
      </c>
      <c r="BF87" s="185"/>
      <c r="BG87" s="182">
        <f t="shared" si="161"/>
        <v>9</v>
      </c>
      <c r="BH87" s="164" t="str">
        <f t="shared" si="141"/>
        <v>N/A</v>
      </c>
      <c r="BI87" s="185"/>
      <c r="BJ87" s="182">
        <f t="shared" si="162"/>
        <v>9</v>
      </c>
      <c r="BK87" s="164" t="str">
        <f t="shared" si="142"/>
        <v>N/A</v>
      </c>
      <c r="BL87" s="185"/>
      <c r="BO87" s="167"/>
      <c r="BP87" s="167"/>
      <c r="BQ87" s="167" t="str">
        <f t="shared" si="157"/>
        <v/>
      </c>
      <c r="BR87" s="167">
        <f t="shared" si="55"/>
        <v>9</v>
      </c>
      <c r="BS87" s="167">
        <f t="shared" si="56"/>
        <v>9</v>
      </c>
      <c r="BT87" s="167">
        <f t="shared" si="57"/>
        <v>9</v>
      </c>
      <c r="BW87" s="167"/>
      <c r="BX87" s="167"/>
      <c r="BY87" s="167"/>
      <c r="BZ87" s="167"/>
      <c r="CA87" s="167"/>
      <c r="CB87" s="167"/>
    </row>
    <row r="88" spans="1:85" x14ac:dyDescent="0.25">
      <c r="A88" s="96">
        <v>80</v>
      </c>
      <c r="B88" s="96" t="str">
        <f t="shared" si="178"/>
        <v>Ene 06b</v>
      </c>
      <c r="C88" s="96" t="str">
        <f t="shared" si="159"/>
        <v>Ene 06</v>
      </c>
      <c r="D88" s="163" t="s">
        <v>695</v>
      </c>
      <c r="E88" s="1123" t="s">
        <v>1000</v>
      </c>
      <c r="F88" s="775">
        <v>1</v>
      </c>
      <c r="G88" s="775">
        <v>1</v>
      </c>
      <c r="H88" s="775">
        <v>1</v>
      </c>
      <c r="I88" s="775">
        <v>1</v>
      </c>
      <c r="J88" s="775">
        <v>1</v>
      </c>
      <c r="K88" s="775">
        <v>1</v>
      </c>
      <c r="L88" s="775">
        <v>1</v>
      </c>
      <c r="M88" s="775">
        <v>1</v>
      </c>
      <c r="N88" s="775">
        <v>1</v>
      </c>
      <c r="O88" s="775">
        <v>1</v>
      </c>
      <c r="P88" s="775">
        <v>1</v>
      </c>
      <c r="Q88" s="775">
        <v>1</v>
      </c>
      <c r="R88" s="775">
        <v>1</v>
      </c>
      <c r="T88" s="221">
        <f t="shared" si="166"/>
        <v>1</v>
      </c>
      <c r="U88" s="222">
        <f>IF(OR(AD_Trans='Assessment Details'!R53,AD_Trans='Assessment Details'!Q53),Poeng!T88,0)</f>
        <v>0</v>
      </c>
      <c r="V88" s="167"/>
      <c r="W88" s="167"/>
      <c r="X88" s="167"/>
      <c r="Y88" s="168"/>
      <c r="Z88" s="168">
        <f>VLOOKUP(B88,'Manuell filtrering og justering'!$A$7:$H$107,'Manuell filtrering og justering'!$H$1,FALSE)</f>
        <v>1</v>
      </c>
      <c r="AA88" s="169">
        <f t="shared" si="168"/>
        <v>0</v>
      </c>
      <c r="AB88" s="170">
        <f>IF($AC$5='Manuell filtrering og justering'!$J$2,Z88,(T88-AA88))</f>
        <v>1</v>
      </c>
      <c r="AD88" s="171">
        <f t="shared" ref="AD88" si="179">(Ene_Weight/Ene_Credits)*AB88</f>
        <v>5.1851851851851859E-3</v>
      </c>
      <c r="AE88" s="171">
        <f t="shared" ref="AE88" si="180">IF(AB88=0,0,(AD88/AB88)*AI88)</f>
        <v>0</v>
      </c>
      <c r="AF88" s="171">
        <f t="shared" ref="AF88" si="181">IF(AB88=0,0,(AD88/AB88)*AJ88)</f>
        <v>0</v>
      </c>
      <c r="AG88" s="171">
        <f t="shared" ref="AG88" si="182">IF(AB88=0,0,(AD88/AB88)*AK88)</f>
        <v>0</v>
      </c>
      <c r="AI88" s="172">
        <f>IF(VLOOKUP(E88,'Pre-Assessment Estimator'!$E$11:$Z$228,'Pre-Assessment Estimator'!$G$2,FALSE)&gt;AB88,AB88,VLOOKUP(E88,'Pre-Assessment Estimator'!$E$11:$Z$228,'Pre-Assessment Estimator'!$G$2,FALSE))</f>
        <v>0</v>
      </c>
      <c r="AJ88" s="172">
        <f>IF(VLOOKUP(E88,'Pre-Assessment Estimator'!$E$11:$Z$228,'Pre-Assessment Estimator'!$N$2,FALSE)&gt;AB88,AB88,VLOOKUP(E88,'Pre-Assessment Estimator'!$E$11:$Z$228,'Pre-Assessment Estimator'!$N$2,FALSE))</f>
        <v>0</v>
      </c>
      <c r="AK88" s="172">
        <f>IF(VLOOKUP(E88,'Pre-Assessment Estimator'!$E$11:$Z$228,'Pre-Assessment Estimator'!$U$2,FALSE)&gt;AB88,AB88,VLOOKUP(E88,'Pre-Assessment Estimator'!$E$11:$Z$228,'Pre-Assessment Estimator'!$U$2,FALSE))</f>
        <v>0</v>
      </c>
      <c r="AM88" s="292"/>
      <c r="AN88" s="293"/>
      <c r="AO88" s="293"/>
      <c r="AP88" s="293"/>
      <c r="AQ88" s="294"/>
      <c r="AS88" s="292"/>
      <c r="AT88" s="293"/>
      <c r="AU88" s="293"/>
      <c r="AV88" s="293"/>
      <c r="AW88" s="294"/>
      <c r="AY88" s="188"/>
      <c r="AZ88" s="189"/>
      <c r="BA88" s="189"/>
      <c r="BB88" s="189"/>
      <c r="BC88" s="190"/>
      <c r="BD88" s="182">
        <f t="shared" ref="BD88" si="183">IF(BC88=0,9,IF((AI88-CG88)&gt;=BC88,5,IF((AI88-CG88)&gt;=BB88,4,IF((AI88-CG88)&gt;=BA88,3,IF((AI88-CG88)&gt;=AZ88,2,IF((AI88-CG88)&lt;AY88,0,1))))))</f>
        <v>9</v>
      </c>
      <c r="BE88" s="164" t="str">
        <f t="shared" si="139"/>
        <v>N/A</v>
      </c>
      <c r="BF88" s="185"/>
      <c r="BG88" s="182">
        <f t="shared" ref="BG88" si="184">IF(BC88=0,9,IF((AJ88-CG88)&gt;=BC88,5,IF((AJ88-CG88)&gt;=BB88,4,IF((AJ88-CG88)&gt;=BA88,3,IF((AJ88-CG88)&gt;=AZ88,2,IF((AJ88-CG88)&lt;AY88,0,1))))))</f>
        <v>9</v>
      </c>
      <c r="BH88" s="164" t="str">
        <f t="shared" si="141"/>
        <v>N/A</v>
      </c>
      <c r="BI88" s="185"/>
      <c r="BJ88" s="182">
        <f t="shared" ref="BJ88" si="185">IF(BC88=0,9,IF((AK88-CG88)&gt;=BC88,5,IF((AK88-CG88)&gt;=BB88,4,IF((AK88-CG88)&gt;=BA88,3,IF((AK88-CG88)&gt;=AZ88,2,IF((AK88-CG88)&lt;AY88,0,1))))))</f>
        <v>9</v>
      </c>
      <c r="BK88" s="164" t="str">
        <f t="shared" si="142"/>
        <v>N/A</v>
      </c>
      <c r="BL88" s="185"/>
      <c r="BO88" s="167"/>
      <c r="BP88" s="167"/>
      <c r="BQ88" s="167" t="str">
        <f t="shared" si="157"/>
        <v/>
      </c>
      <c r="BR88" s="167">
        <f t="shared" si="55"/>
        <v>9</v>
      </c>
      <c r="BS88" s="167">
        <f t="shared" si="56"/>
        <v>9</v>
      </c>
      <c r="BT88" s="167">
        <f t="shared" si="57"/>
        <v>9</v>
      </c>
      <c r="BW88" s="167"/>
      <c r="BX88" s="167"/>
      <c r="BY88" s="167"/>
      <c r="BZ88" s="167"/>
      <c r="CA88" s="167"/>
      <c r="CB88" s="167"/>
    </row>
    <row r="89" spans="1:85" x14ac:dyDescent="0.25">
      <c r="A89" s="96">
        <v>81</v>
      </c>
      <c r="B89" s="96" t="str">
        <f t="shared" si="178"/>
        <v>Ene 06c</v>
      </c>
      <c r="C89" s="96" t="str">
        <f t="shared" si="159"/>
        <v>Ene 06</v>
      </c>
      <c r="D89" s="163" t="s">
        <v>696</v>
      </c>
      <c r="E89" s="1123" t="s">
        <v>1001</v>
      </c>
      <c r="F89" s="775">
        <v>1</v>
      </c>
      <c r="G89" s="775">
        <v>1</v>
      </c>
      <c r="H89" s="775">
        <v>1</v>
      </c>
      <c r="I89" s="775">
        <v>1</v>
      </c>
      <c r="J89" s="775">
        <v>1</v>
      </c>
      <c r="K89" s="775">
        <v>1</v>
      </c>
      <c r="L89" s="775">
        <v>1</v>
      </c>
      <c r="M89" s="775">
        <v>1</v>
      </c>
      <c r="N89" s="775">
        <v>1</v>
      </c>
      <c r="O89" s="775">
        <v>1</v>
      </c>
      <c r="P89" s="775">
        <v>1</v>
      </c>
      <c r="Q89" s="775">
        <v>1</v>
      </c>
      <c r="R89" s="775">
        <v>1</v>
      </c>
      <c r="T89" s="221">
        <f t="shared" si="166"/>
        <v>1</v>
      </c>
      <c r="U89" s="222">
        <f>IF(OR(AD_Trans='Assessment Details'!R53,AD_Trans='Assessment Details'!Q52),Poeng!T88,0)</f>
        <v>0</v>
      </c>
      <c r="V89" s="167"/>
      <c r="W89" s="167"/>
      <c r="X89" s="167"/>
      <c r="Y89" s="168"/>
      <c r="Z89" s="168">
        <f>VLOOKUP(B89,'Manuell filtrering og justering'!$A$7:$H$107,'Manuell filtrering og justering'!$H$1,FALSE)</f>
        <v>1</v>
      </c>
      <c r="AA89" s="169">
        <f t="shared" si="168"/>
        <v>0</v>
      </c>
      <c r="AB89" s="170">
        <f>IF($AC$5='Manuell filtrering og justering'!$J$2,Z89,(T89-AA89))</f>
        <v>1</v>
      </c>
      <c r="AD89" s="171">
        <f t="shared" si="136"/>
        <v>5.1851851851851859E-3</v>
      </c>
      <c r="AE89" s="171">
        <f t="shared" si="144"/>
        <v>0</v>
      </c>
      <c r="AF89" s="171">
        <f t="shared" si="145"/>
        <v>0</v>
      </c>
      <c r="AG89" s="171">
        <f t="shared" si="146"/>
        <v>0</v>
      </c>
      <c r="AI89" s="172">
        <f>IF(VLOOKUP(E89,'Pre-Assessment Estimator'!$E$11:$Z$228,'Pre-Assessment Estimator'!$G$2,FALSE)&gt;AB89,AB89,VLOOKUP(E89,'Pre-Assessment Estimator'!$E$11:$Z$228,'Pre-Assessment Estimator'!$G$2,FALSE))</f>
        <v>0</v>
      </c>
      <c r="AJ89" s="172">
        <f>IF(VLOOKUP(E89,'Pre-Assessment Estimator'!$E$11:$Z$228,'Pre-Assessment Estimator'!$N$2,FALSE)&gt;AB89,AB89,VLOOKUP(E89,'Pre-Assessment Estimator'!$E$11:$Z$228,'Pre-Assessment Estimator'!$N$2,FALSE))</f>
        <v>0</v>
      </c>
      <c r="AK89" s="172">
        <f>IF(VLOOKUP(E89,'Pre-Assessment Estimator'!$E$11:$Z$228,'Pre-Assessment Estimator'!$U$2,FALSE)&gt;AB89,AB89,VLOOKUP(E89,'Pre-Assessment Estimator'!$E$11:$Z$228,'Pre-Assessment Estimator'!$U$2,FALSE))</f>
        <v>0</v>
      </c>
      <c r="AM89" s="292"/>
      <c r="AN89" s="293"/>
      <c r="AO89" s="293"/>
      <c r="AP89" s="293"/>
      <c r="AQ89" s="294"/>
      <c r="AS89" s="292"/>
      <c r="AT89" s="293"/>
      <c r="AU89" s="293"/>
      <c r="AV89" s="293"/>
      <c r="AW89" s="294"/>
      <c r="AY89" s="188"/>
      <c r="AZ89" s="189"/>
      <c r="BA89" s="189"/>
      <c r="BB89" s="189"/>
      <c r="BC89" s="190"/>
      <c r="BD89" s="182">
        <f t="shared" si="160"/>
        <v>9</v>
      </c>
      <c r="BE89" s="164" t="str">
        <f t="shared" si="139"/>
        <v>N/A</v>
      </c>
      <c r="BF89" s="185"/>
      <c r="BG89" s="182">
        <f t="shared" si="161"/>
        <v>9</v>
      </c>
      <c r="BH89" s="164" t="str">
        <f t="shared" si="141"/>
        <v>N/A</v>
      </c>
      <c r="BI89" s="185"/>
      <c r="BJ89" s="182">
        <f t="shared" si="162"/>
        <v>9</v>
      </c>
      <c r="BK89" s="164" t="str">
        <f t="shared" si="142"/>
        <v>N/A</v>
      </c>
      <c r="BL89" s="185"/>
      <c r="BO89" s="167"/>
      <c r="BP89" s="167"/>
      <c r="BQ89" s="167" t="str">
        <f t="shared" si="157"/>
        <v/>
      </c>
      <c r="BR89" s="167">
        <f t="shared" si="55"/>
        <v>9</v>
      </c>
      <c r="BS89" s="167">
        <f t="shared" si="56"/>
        <v>9</v>
      </c>
      <c r="BT89" s="167">
        <f t="shared" si="57"/>
        <v>9</v>
      </c>
      <c r="BW89" s="167"/>
      <c r="BX89" s="167"/>
      <c r="BY89" s="167"/>
      <c r="BZ89" s="167"/>
      <c r="CA89" s="167"/>
      <c r="CB89" s="167"/>
    </row>
    <row r="90" spans="1:85" x14ac:dyDescent="0.25">
      <c r="A90" s="96">
        <v>82</v>
      </c>
      <c r="B90" s="137" t="str">
        <f>D90</f>
        <v>Ene 07</v>
      </c>
      <c r="C90" s="137" t="str">
        <f>B90</f>
        <v>Ene 07</v>
      </c>
      <c r="D90" s="834" t="s">
        <v>140</v>
      </c>
      <c r="E90" s="832" t="s">
        <v>131</v>
      </c>
      <c r="F90" s="933">
        <f>SUM(F91:F92)</f>
        <v>5</v>
      </c>
      <c r="G90" s="933">
        <f>SUM(G91:G92)</f>
        <v>0</v>
      </c>
      <c r="H90" s="933">
        <f t="shared" ref="H90:P90" si="186">SUM(H91:H92)</f>
        <v>0</v>
      </c>
      <c r="I90" s="933">
        <f t="shared" si="186"/>
        <v>5</v>
      </c>
      <c r="J90" s="933">
        <f t="shared" si="186"/>
        <v>5</v>
      </c>
      <c r="K90" s="933">
        <f t="shared" si="186"/>
        <v>0</v>
      </c>
      <c r="L90" s="933">
        <f t="shared" si="186"/>
        <v>0</v>
      </c>
      <c r="M90" s="933">
        <f t="shared" si="186"/>
        <v>0</v>
      </c>
      <c r="N90" s="933">
        <f t="shared" si="186"/>
        <v>0</v>
      </c>
      <c r="O90" s="933">
        <f t="shared" si="186"/>
        <v>0</v>
      </c>
      <c r="P90" s="933">
        <f t="shared" si="186"/>
        <v>0</v>
      </c>
      <c r="Q90" s="933">
        <f>SUM(Q91:Q92)</f>
        <v>5</v>
      </c>
      <c r="R90" s="933">
        <f>SUM(R91:R92)</f>
        <v>5</v>
      </c>
      <c r="T90" s="963">
        <f t="shared" si="166"/>
        <v>5</v>
      </c>
      <c r="U90" s="230">
        <f>U91+U92</f>
        <v>0</v>
      </c>
      <c r="V90" s="230">
        <f>V91+V92</f>
        <v>0</v>
      </c>
      <c r="W90" s="230"/>
      <c r="X90" s="230"/>
      <c r="Y90" s="230"/>
      <c r="Z90" s="958"/>
      <c r="AA90" s="963">
        <f t="shared" si="168"/>
        <v>0</v>
      </c>
      <c r="AB90" s="1066">
        <f t="shared" ref="AB90" si="187">SUM(AB91:AB92)</f>
        <v>5</v>
      </c>
      <c r="AD90" s="171">
        <f t="shared" si="136"/>
        <v>2.5925925925925929E-2</v>
      </c>
      <c r="AE90" s="921">
        <f>SUM(AE91:AE92)</f>
        <v>0</v>
      </c>
      <c r="AF90" s="921">
        <f t="shared" ref="AF90:AG90" si="188">SUM(AF91:AF92)</f>
        <v>0</v>
      </c>
      <c r="AG90" s="921">
        <f t="shared" si="188"/>
        <v>0</v>
      </c>
      <c r="AI90" s="958">
        <f t="shared" ref="AI90:AK90" si="189">SUM(AI91:AI92)</f>
        <v>0</v>
      </c>
      <c r="AJ90" s="958">
        <f t="shared" si="189"/>
        <v>0</v>
      </c>
      <c r="AK90" s="958">
        <f t="shared" si="189"/>
        <v>0</v>
      </c>
      <c r="AM90" s="292"/>
      <c r="AN90" s="293"/>
      <c r="AO90" s="293"/>
      <c r="AP90" s="293"/>
      <c r="AQ90" s="294"/>
      <c r="AS90" s="292"/>
      <c r="AT90" s="293"/>
      <c r="AU90" s="293"/>
      <c r="AV90" s="293"/>
      <c r="AW90" s="294"/>
      <c r="AY90" s="188"/>
      <c r="AZ90" s="189"/>
      <c r="BA90" s="189"/>
      <c r="BB90" s="189"/>
      <c r="BC90" s="190"/>
      <c r="BD90" s="182">
        <f t="shared" si="160"/>
        <v>9</v>
      </c>
      <c r="BE90" s="164" t="str">
        <f t="shared" si="139"/>
        <v>N/A</v>
      </c>
      <c r="BF90" s="185"/>
      <c r="BG90" s="182">
        <f t="shared" si="161"/>
        <v>9</v>
      </c>
      <c r="BH90" s="164" t="str">
        <f t="shared" si="141"/>
        <v>N/A</v>
      </c>
      <c r="BI90" s="185"/>
      <c r="BJ90" s="182">
        <f t="shared" si="162"/>
        <v>9</v>
      </c>
      <c r="BK90" s="164" t="str">
        <f t="shared" si="142"/>
        <v>N/A</v>
      </c>
      <c r="BL90" s="185"/>
      <c r="BO90" s="977"/>
      <c r="BP90" s="167"/>
      <c r="BQ90" s="167" t="str">
        <f t="shared" si="157"/>
        <v/>
      </c>
      <c r="BR90" s="167">
        <f t="shared" si="55"/>
        <v>9</v>
      </c>
      <c r="BS90" s="167">
        <f t="shared" si="56"/>
        <v>9</v>
      </c>
      <c r="BT90" s="167">
        <f t="shared" si="57"/>
        <v>9</v>
      </c>
      <c r="BW90" s="167" t="str">
        <f>D90</f>
        <v>Ene 07</v>
      </c>
      <c r="BX90" s="167" t="str">
        <f>IFERROR(VLOOKUP($E90,'Pre-Assessment Estimator'!$E$11:$AB$228,'Pre-Assessment Estimator'!AB$2,FALSE),"")</f>
        <v>N/A</v>
      </c>
      <c r="BY90" s="167">
        <f>IFERROR(VLOOKUP($E90,'Pre-Assessment Estimator'!$E$11:$AI$228,'Pre-Assessment Estimator'!AI$2,FALSE),"")</f>
        <v>0</v>
      </c>
      <c r="BZ90" s="167">
        <f>IFERROR(VLOOKUP($BX90,$E$294:$H$327,F$292,FALSE),"")</f>
        <v>1</v>
      </c>
      <c r="CA90" s="167">
        <f>IFERROR(VLOOKUP($BX90,$E$294:$H$327,G$292,FALSE),"")</f>
        <v>0</v>
      </c>
      <c r="CB90" s="167"/>
      <c r="CC90" s="96" t="str">
        <f>IFERROR(VLOOKUP($BX90,$E$294:$H$327,I$292,FALSE),"")</f>
        <v/>
      </c>
    </row>
    <row r="91" spans="1:85" x14ac:dyDescent="0.25">
      <c r="A91" s="96">
        <v>83</v>
      </c>
      <c r="B91" s="96" t="str">
        <f t="shared" ref="B91:B92" si="190">$D$90&amp;D91</f>
        <v>Ene 07a</v>
      </c>
      <c r="C91" s="96" t="str">
        <f t="shared" si="159"/>
        <v>Ene 07</v>
      </c>
      <c r="D91" s="163" t="s">
        <v>692</v>
      </c>
      <c r="E91" s="1123" t="s">
        <v>633</v>
      </c>
      <c r="F91" s="775">
        <v>1</v>
      </c>
      <c r="G91" s="1022">
        <v>0</v>
      </c>
      <c r="H91" s="1022">
        <v>0</v>
      </c>
      <c r="I91" s="775">
        <v>1</v>
      </c>
      <c r="J91" s="775">
        <v>1</v>
      </c>
      <c r="K91" s="1022">
        <v>0</v>
      </c>
      <c r="L91" s="1022">
        <v>0</v>
      </c>
      <c r="M91" s="1022">
        <v>0</v>
      </c>
      <c r="N91" s="1022">
        <v>0</v>
      </c>
      <c r="O91" s="1022">
        <v>0</v>
      </c>
      <c r="P91" s="1022">
        <v>0</v>
      </c>
      <c r="Q91" s="775">
        <v>1</v>
      </c>
      <c r="R91" s="775">
        <v>1</v>
      </c>
      <c r="T91" s="221">
        <f t="shared" si="166"/>
        <v>1</v>
      </c>
      <c r="U91" s="230">
        <f>IF(AND('Assessment Details'!H21=1,AD_Labsize=AD_Labsize03),Poeng!T91,0)</f>
        <v>0</v>
      </c>
      <c r="V91" s="167">
        <f>IF(AND(ADBT0=ADBT8,OR('Assessment Details'!F6='Assessment Details'!U6,'Assessment Details'!F6='Assessment Details'!U7,'Assessment Details'!F6='Assessment Details'!U8,'Assessment Details'!F6='Assessment Details'!U9)),T91,0)</f>
        <v>0</v>
      </c>
      <c r="W91" s="167"/>
      <c r="X91" s="167"/>
      <c r="Y91" s="169">
        <f>IF(OR($Y$4=$Y$6,Y4=Y5),T91,0)</f>
        <v>0</v>
      </c>
      <c r="Z91" s="168">
        <f>VLOOKUP(B91,'Manuell filtrering og justering'!$A$7:$H$107,'Manuell filtrering og justering'!$H$1,FALSE)</f>
        <v>0</v>
      </c>
      <c r="AA91" s="169">
        <f t="shared" si="168"/>
        <v>0</v>
      </c>
      <c r="AB91" s="170">
        <f>IF($AC$5='Manuell filtrering og justering'!$J$2,Z91,(T91-AA91))</f>
        <v>1</v>
      </c>
      <c r="AD91" s="171">
        <f t="shared" si="136"/>
        <v>5.1851851851851859E-3</v>
      </c>
      <c r="AE91" s="171">
        <f t="shared" si="144"/>
        <v>0</v>
      </c>
      <c r="AF91" s="171">
        <f t="shared" si="145"/>
        <v>0</v>
      </c>
      <c r="AG91" s="171">
        <f t="shared" si="146"/>
        <v>0</v>
      </c>
      <c r="AI91" s="172">
        <f>IF(VLOOKUP(E91,'Pre-Assessment Estimator'!$E$11:$Z$228,'Pre-Assessment Estimator'!$G$2,FALSE)&gt;AB91,AB91,VLOOKUP(E91,'Pre-Assessment Estimator'!$E$11:$Z$228,'Pre-Assessment Estimator'!$G$2,FALSE))</f>
        <v>0</v>
      </c>
      <c r="AJ91" s="172">
        <f>IF(VLOOKUP(E91,'Pre-Assessment Estimator'!$E$11:$Z$228,'Pre-Assessment Estimator'!$N$2,FALSE)&gt;AB91,AB91,VLOOKUP(E91,'Pre-Assessment Estimator'!$E$11:$Z$228,'Pre-Assessment Estimator'!$N$2,FALSE))</f>
        <v>0</v>
      </c>
      <c r="AK91" s="172">
        <f>IF(VLOOKUP(E91,'Pre-Assessment Estimator'!$E$11:$Z$228,'Pre-Assessment Estimator'!$U$2,FALSE)&gt;AB91,AB91,VLOOKUP(E91,'Pre-Assessment Estimator'!$E$11:$Z$228,'Pre-Assessment Estimator'!$U$2,FALSE))</f>
        <v>0</v>
      </c>
      <c r="AM91" s="1192">
        <f>IF(AB91=0,0,IF(AND($Y$4&lt;&gt;$Y$3,Y91&gt;0),0,1))</f>
        <v>1</v>
      </c>
      <c r="AN91" s="1193">
        <f>AM91</f>
        <v>1</v>
      </c>
      <c r="AO91" s="1193">
        <f>AM91</f>
        <v>1</v>
      </c>
      <c r="AP91" s="1193">
        <f>AM91</f>
        <v>1</v>
      </c>
      <c r="AQ91" s="1194">
        <f>AM91</f>
        <v>1</v>
      </c>
      <c r="AS91" s="292"/>
      <c r="AT91" s="293"/>
      <c r="AU91" s="293"/>
      <c r="AV91" s="293"/>
      <c r="AW91" s="294"/>
      <c r="AY91" s="183">
        <f>IF($AB91=0,0,IF($E$6=$H$9,AS91,AM91))</f>
        <v>1</v>
      </c>
      <c r="AZ91" s="183">
        <f>IF($AB91=0,0,IF($E$6=$H$9,AT91,AN91))</f>
        <v>1</v>
      </c>
      <c r="BA91" s="183">
        <f>IF($AB91=0,0,IF($E$6=$H$9,AU91,AO91))</f>
        <v>1</v>
      </c>
      <c r="BB91" s="183">
        <f>IF($AB91=0,0,IF($E$6=$H$9,AV91,AP91))</f>
        <v>1</v>
      </c>
      <c r="BC91" s="183">
        <f>IF($AB91=0,0,IF($E$6=$H$9,AW91,AQ91))</f>
        <v>1</v>
      </c>
      <c r="BD91" s="182">
        <f t="shared" si="160"/>
        <v>0</v>
      </c>
      <c r="BE91" s="164" t="str">
        <f t="shared" si="139"/>
        <v>Unclassified</v>
      </c>
      <c r="BF91" s="185"/>
      <c r="BG91" s="182">
        <f t="shared" si="161"/>
        <v>0</v>
      </c>
      <c r="BH91" s="164" t="str">
        <f t="shared" si="141"/>
        <v>Unclassified</v>
      </c>
      <c r="BI91" s="185"/>
      <c r="BJ91" s="182">
        <f t="shared" si="162"/>
        <v>0</v>
      </c>
      <c r="BK91" s="164" t="str">
        <f t="shared" si="142"/>
        <v>Unclassified</v>
      </c>
      <c r="BL91" s="185"/>
      <c r="BO91" s="977"/>
      <c r="BP91" s="167"/>
      <c r="BQ91" s="167" t="str">
        <f t="shared" si="157"/>
        <v/>
      </c>
      <c r="BR91" s="167">
        <f t="shared" si="55"/>
        <v>9</v>
      </c>
      <c r="BS91" s="167">
        <f t="shared" si="56"/>
        <v>9</v>
      </c>
      <c r="BT91" s="167">
        <f t="shared" si="57"/>
        <v>9</v>
      </c>
      <c r="BW91" s="167"/>
      <c r="BX91" s="167"/>
      <c r="BY91" s="167"/>
      <c r="BZ91" s="167"/>
      <c r="CA91" s="99"/>
      <c r="CB91" s="167"/>
    </row>
    <row r="92" spans="1:85" x14ac:dyDescent="0.25">
      <c r="A92" s="96">
        <v>84</v>
      </c>
      <c r="B92" s="96" t="str">
        <f t="shared" si="190"/>
        <v>Ene 07b</v>
      </c>
      <c r="C92" s="96" t="str">
        <f t="shared" si="159"/>
        <v>Ene 07</v>
      </c>
      <c r="D92" s="163" t="s">
        <v>695</v>
      </c>
      <c r="E92" s="1123" t="s">
        <v>634</v>
      </c>
      <c r="F92" s="775">
        <v>4</v>
      </c>
      <c r="G92" s="1022">
        <v>0</v>
      </c>
      <c r="H92" s="1022">
        <v>0</v>
      </c>
      <c r="I92" s="775">
        <v>4</v>
      </c>
      <c r="J92" s="775">
        <v>4</v>
      </c>
      <c r="K92" s="1022">
        <v>0</v>
      </c>
      <c r="L92" s="1022">
        <v>0</v>
      </c>
      <c r="M92" s="1022">
        <v>0</v>
      </c>
      <c r="N92" s="1022">
        <v>0</v>
      </c>
      <c r="O92" s="1022">
        <v>0</v>
      </c>
      <c r="P92" s="1022">
        <v>0</v>
      </c>
      <c r="Q92" s="775">
        <v>4</v>
      </c>
      <c r="R92" s="775">
        <v>4</v>
      </c>
      <c r="T92" s="221">
        <f t="shared" si="166"/>
        <v>4</v>
      </c>
      <c r="U92" s="230">
        <f>IF(AD_Labsize=AD_Labsize03,Poeng!T92,IF(AD_Labsize=AD_labsize04,4,IF(AD_Labsize=AD_Labsize01,2,0)))</f>
        <v>0</v>
      </c>
      <c r="V92" s="167">
        <f>IF(AND(ADBT0=ADBT8,OR('Assessment Details'!F6='Assessment Details'!U6,'Assessment Details'!F6='Assessment Details'!U7,'Assessment Details'!F6='Assessment Details'!U8,'Assessment Details'!F6='Assessment Details'!U9)),T92,0)</f>
        <v>0</v>
      </c>
      <c r="W92" s="167"/>
      <c r="X92" s="167"/>
      <c r="Y92" s="169">
        <f>IF(OR($Y$4=$Y$6,Y4=Y5),T92,0)</f>
        <v>0</v>
      </c>
      <c r="Z92" s="168">
        <f>VLOOKUP(B92,'Manuell filtrering og justering'!$A$7:$H$107,'Manuell filtrering og justering'!$H$1,FALSE)</f>
        <v>0</v>
      </c>
      <c r="AA92" s="169">
        <f t="shared" si="168"/>
        <v>0</v>
      </c>
      <c r="AB92" s="170">
        <f>IF($AC$5='Manuell filtrering og justering'!$J$2,Z92,(T92-AA92))</f>
        <v>4</v>
      </c>
      <c r="AD92" s="171">
        <f t="shared" si="136"/>
        <v>2.0740740740740744E-2</v>
      </c>
      <c r="AE92" s="171">
        <f t="shared" si="144"/>
        <v>0</v>
      </c>
      <c r="AF92" s="171">
        <f t="shared" si="145"/>
        <v>0</v>
      </c>
      <c r="AG92" s="171">
        <f t="shared" si="146"/>
        <v>0</v>
      </c>
      <c r="AI92" s="172">
        <f>IF(VLOOKUP(E92,'Pre-Assessment Estimator'!$E$11:$Z$228,'Pre-Assessment Estimator'!$G$2,FALSE)&gt;AB92,AB92,VLOOKUP(E92,'Pre-Assessment Estimator'!$E$11:$Z$228,'Pre-Assessment Estimator'!$G$2,FALSE))</f>
        <v>0</v>
      </c>
      <c r="AJ92" s="172">
        <f>IF(VLOOKUP(E92,'Pre-Assessment Estimator'!$E$11:$Z$228,'Pre-Assessment Estimator'!$N$2,FALSE)&gt;AB92,AB92,VLOOKUP(E92,'Pre-Assessment Estimator'!$E$11:$Z$228,'Pre-Assessment Estimator'!$N$2,FALSE))</f>
        <v>0</v>
      </c>
      <c r="AK92" s="172">
        <f>IF(VLOOKUP(E92,'Pre-Assessment Estimator'!$E$11:$Z$228,'Pre-Assessment Estimator'!$U$2,FALSE)&gt;AB92,AB92,VLOOKUP(E92,'Pre-Assessment Estimator'!$E$11:$Z$228,'Pre-Assessment Estimator'!$U$2,FALSE))</f>
        <v>0</v>
      </c>
      <c r="AM92" s="292"/>
      <c r="AN92" s="293"/>
      <c r="AO92" s="293"/>
      <c r="AP92" s="293"/>
      <c r="AQ92" s="294"/>
      <c r="AS92" s="292"/>
      <c r="AT92" s="293"/>
      <c r="AU92" s="293"/>
      <c r="AV92" s="293"/>
      <c r="AW92" s="294"/>
      <c r="AY92" s="188"/>
      <c r="AZ92" s="189"/>
      <c r="BA92" s="189"/>
      <c r="BB92" s="189"/>
      <c r="BC92" s="190"/>
      <c r="BD92" s="182">
        <f t="shared" si="160"/>
        <v>9</v>
      </c>
      <c r="BE92" s="164" t="str">
        <f t="shared" si="139"/>
        <v>N/A</v>
      </c>
      <c r="BF92" s="185"/>
      <c r="BG92" s="182">
        <f t="shared" si="161"/>
        <v>9</v>
      </c>
      <c r="BH92" s="164" t="str">
        <f t="shared" si="141"/>
        <v>N/A</v>
      </c>
      <c r="BI92" s="185"/>
      <c r="BJ92" s="182">
        <f t="shared" si="162"/>
        <v>9</v>
      </c>
      <c r="BK92" s="164" t="str">
        <f t="shared" si="142"/>
        <v>N/A</v>
      </c>
      <c r="BL92" s="185"/>
      <c r="BO92" s="977"/>
      <c r="BP92" s="167"/>
      <c r="BQ92" s="167" t="str">
        <f t="shared" si="157"/>
        <v/>
      </c>
      <c r="BR92" s="167">
        <f t="shared" si="55"/>
        <v>9</v>
      </c>
      <c r="BS92" s="167">
        <f t="shared" si="56"/>
        <v>9</v>
      </c>
      <c r="BT92" s="167">
        <f t="shared" si="57"/>
        <v>9</v>
      </c>
      <c r="BW92" s="167"/>
      <c r="BX92" s="167"/>
      <c r="BY92" s="167"/>
      <c r="BZ92" s="167"/>
      <c r="CA92" s="99"/>
      <c r="CB92" s="167"/>
    </row>
    <row r="93" spans="1:85" x14ac:dyDescent="0.25">
      <c r="A93" s="96">
        <v>85</v>
      </c>
      <c r="B93" s="137" t="str">
        <f>D93</f>
        <v>Ene 08</v>
      </c>
      <c r="C93" s="137" t="str">
        <f>B93</f>
        <v>Ene 08</v>
      </c>
      <c r="D93" s="834" t="s">
        <v>141</v>
      </c>
      <c r="E93" s="832" t="s">
        <v>132</v>
      </c>
      <c r="F93" s="933">
        <f>SUM(F94)</f>
        <v>2</v>
      </c>
      <c r="G93" s="933">
        <f t="shared" ref="G93:R93" si="191">SUM(G94)</f>
        <v>2</v>
      </c>
      <c r="H93" s="933">
        <f t="shared" si="191"/>
        <v>2</v>
      </c>
      <c r="I93" s="933">
        <f t="shared" si="191"/>
        <v>2</v>
      </c>
      <c r="J93" s="933">
        <f t="shared" si="191"/>
        <v>2</v>
      </c>
      <c r="K93" s="933">
        <f t="shared" si="191"/>
        <v>2</v>
      </c>
      <c r="L93" s="933">
        <f t="shared" si="191"/>
        <v>2</v>
      </c>
      <c r="M93" s="933">
        <f t="shared" si="191"/>
        <v>2</v>
      </c>
      <c r="N93" s="933">
        <f t="shared" si="191"/>
        <v>2</v>
      </c>
      <c r="O93" s="933">
        <f t="shared" si="191"/>
        <v>2</v>
      </c>
      <c r="P93" s="933">
        <f t="shared" si="191"/>
        <v>2</v>
      </c>
      <c r="Q93" s="933">
        <f t="shared" si="191"/>
        <v>2</v>
      </c>
      <c r="R93" s="933">
        <f t="shared" si="191"/>
        <v>2</v>
      </c>
      <c r="T93" s="963">
        <f t="shared" si="166"/>
        <v>2</v>
      </c>
      <c r="U93" s="222">
        <f>U94</f>
        <v>0</v>
      </c>
      <c r="V93" s="230"/>
      <c r="W93" s="230"/>
      <c r="X93" s="230">
        <f>'Manuell filtrering og justering'!E36</f>
        <v>0</v>
      </c>
      <c r="Y93" s="230"/>
      <c r="Z93" s="958">
        <f t="shared" ref="Z93" si="192">SUM(Z94)</f>
        <v>0</v>
      </c>
      <c r="AA93" s="963">
        <f t="shared" si="168"/>
        <v>0</v>
      </c>
      <c r="AB93" s="1066">
        <f>SUM(AB94)</f>
        <v>2</v>
      </c>
      <c r="AD93" s="171">
        <f t="shared" si="136"/>
        <v>1.0370370370370372E-2</v>
      </c>
      <c r="AE93" s="921">
        <f>SUM(AE94)</f>
        <v>0</v>
      </c>
      <c r="AF93" s="921">
        <f t="shared" ref="AF93:AG93" si="193">SUM(AF94)</f>
        <v>0</v>
      </c>
      <c r="AG93" s="921">
        <f t="shared" si="193"/>
        <v>0</v>
      </c>
      <c r="AI93" s="958">
        <f t="shared" ref="AI93" si="194">SUM(AI94)</f>
        <v>0</v>
      </c>
      <c r="AJ93" s="958">
        <f t="shared" ref="AJ93" si="195">SUM(AJ94)</f>
        <v>0</v>
      </c>
      <c r="AK93" s="958">
        <f t="shared" ref="AK93" si="196">SUM(AK94)</f>
        <v>0</v>
      </c>
      <c r="AL93" s="96" t="s">
        <v>425</v>
      </c>
      <c r="AM93" s="292"/>
      <c r="AN93" s="293"/>
      <c r="AO93" s="293"/>
      <c r="AP93" s="293"/>
      <c r="AQ93" s="294"/>
      <c r="AS93" s="292"/>
      <c r="AT93" s="293"/>
      <c r="AU93" s="293"/>
      <c r="AV93" s="293"/>
      <c r="AW93" s="294"/>
      <c r="AY93" s="188"/>
      <c r="AZ93" s="189"/>
      <c r="BA93" s="189"/>
      <c r="BB93" s="189"/>
      <c r="BC93" s="190"/>
      <c r="BD93" s="182">
        <f t="shared" si="160"/>
        <v>9</v>
      </c>
      <c r="BE93" s="164" t="str">
        <f t="shared" si="139"/>
        <v>N/A</v>
      </c>
      <c r="BF93" s="185"/>
      <c r="BG93" s="182">
        <f t="shared" si="161"/>
        <v>9</v>
      </c>
      <c r="BH93" s="164" t="str">
        <f t="shared" si="141"/>
        <v>N/A</v>
      </c>
      <c r="BI93" s="185"/>
      <c r="BJ93" s="182">
        <f t="shared" si="162"/>
        <v>9</v>
      </c>
      <c r="BK93" s="164" t="str">
        <f t="shared" si="142"/>
        <v>N/A</v>
      </c>
      <c r="BL93" s="185"/>
      <c r="BO93" s="167"/>
      <c r="BP93" s="167"/>
      <c r="BQ93" s="167" t="str">
        <f t="shared" si="157"/>
        <v/>
      </c>
      <c r="BR93" s="167">
        <f t="shared" si="55"/>
        <v>9</v>
      </c>
      <c r="BS93" s="167">
        <f t="shared" si="56"/>
        <v>9</v>
      </c>
      <c r="BT93" s="167">
        <f t="shared" si="57"/>
        <v>9</v>
      </c>
      <c r="BW93" s="167" t="str">
        <f>D93</f>
        <v>Ene 08</v>
      </c>
      <c r="BX93" s="167" t="str">
        <f>IFERROR(VLOOKUP($E93,'Pre-Assessment Estimator'!$E$11:$AB$228,'Pre-Assessment Estimator'!AB$2,FALSE),"")</f>
        <v>No</v>
      </c>
      <c r="BY93" s="230" t="str">
        <f>IFERROR(VLOOKUP($E93,'Pre-Assessment Estimator'!$E$11:$AI$228,'Pre-Assessment Estimator'!AI$2,FALSE),"")</f>
        <v>Ja</v>
      </c>
      <c r="BZ93" s="167">
        <f>IFERROR(VLOOKUP($BX93,$E$294:$H$327,F$292,FALSE),"")</f>
        <v>1</v>
      </c>
      <c r="CA93" s="680" t="s">
        <v>430</v>
      </c>
      <c r="CB93" s="167"/>
      <c r="CC93" s="96" t="str">
        <f>IFERROR(VLOOKUP($BX93,$E$294:$H$327,I$292,FALSE),"")</f>
        <v/>
      </c>
      <c r="CD93" s="96" t="s">
        <v>436</v>
      </c>
      <c r="CE93" s="167">
        <f t="shared" ref="CE93:CE95" si="197">VLOOKUP(CA93,$CA$4:$CB$5,2,FALSE)</f>
        <v>1</v>
      </c>
      <c r="CG93" s="681">
        <f>IF($BX$5=ais_nei,CE93,IF(AND(CA93=$CA$4,BX93=$CC$4),0,BZ93))</f>
        <v>1</v>
      </c>
    </row>
    <row r="94" spans="1:85" x14ac:dyDescent="0.25">
      <c r="A94" s="96">
        <v>86</v>
      </c>
      <c r="B94" s="96" t="str">
        <f>$D$93&amp;D94</f>
        <v>Ene 08a</v>
      </c>
      <c r="C94" s="96" t="str">
        <f t="shared" si="159"/>
        <v>Ene 08</v>
      </c>
      <c r="D94" s="166" t="s">
        <v>692</v>
      </c>
      <c r="E94" s="1123" t="s">
        <v>635</v>
      </c>
      <c r="F94" s="775">
        <v>2</v>
      </c>
      <c r="G94" s="775">
        <v>2</v>
      </c>
      <c r="H94" s="775">
        <v>2</v>
      </c>
      <c r="I94" s="775">
        <v>2</v>
      </c>
      <c r="J94" s="775">
        <v>2</v>
      </c>
      <c r="K94" s="775">
        <v>2</v>
      </c>
      <c r="L94" s="775">
        <v>2</v>
      </c>
      <c r="M94" s="775">
        <v>2</v>
      </c>
      <c r="N94" s="775">
        <v>2</v>
      </c>
      <c r="O94" s="775">
        <v>2</v>
      </c>
      <c r="P94" s="775">
        <v>2</v>
      </c>
      <c r="Q94" s="775">
        <v>2</v>
      </c>
      <c r="R94" s="775">
        <v>2</v>
      </c>
      <c r="T94" s="221">
        <f t="shared" si="166"/>
        <v>2</v>
      </c>
      <c r="U94" s="222">
        <f>IF(AD_Energyload=AD_no,Poeng!T94,0)</f>
        <v>0</v>
      </c>
      <c r="V94" s="167"/>
      <c r="W94" s="167"/>
      <c r="X94" s="167"/>
      <c r="Y94" s="169">
        <f>IF(OR($Y$4=$Y$6,Y4=Y5),T94,0)</f>
        <v>0</v>
      </c>
      <c r="Z94" s="168">
        <f>VLOOKUP(B94,'Manuell filtrering og justering'!$A$7:$H$107,'Manuell filtrering og justering'!$H$1,FALSE)</f>
        <v>0</v>
      </c>
      <c r="AA94" s="169">
        <f t="shared" si="168"/>
        <v>0</v>
      </c>
      <c r="AB94" s="170">
        <f>IF($AC$5='Manuell filtrering og justering'!$J$2,Z94,(T94-AA94))</f>
        <v>2</v>
      </c>
      <c r="AD94" s="171">
        <f t="shared" si="136"/>
        <v>1.0370370370370372E-2</v>
      </c>
      <c r="AE94" s="171">
        <f t="shared" si="144"/>
        <v>0</v>
      </c>
      <c r="AF94" s="171">
        <f t="shared" si="145"/>
        <v>0</v>
      </c>
      <c r="AG94" s="171">
        <f t="shared" si="146"/>
        <v>0</v>
      </c>
      <c r="AI94" s="172">
        <f>IF(VLOOKUP(E94,'Pre-Assessment Estimator'!$E$11:$Z$228,'Pre-Assessment Estimator'!$G$2,FALSE)&gt;AB94,AB94,VLOOKUP(E94,'Pre-Assessment Estimator'!$E$11:$Z$228,'Pre-Assessment Estimator'!$G$2,FALSE))</f>
        <v>0</v>
      </c>
      <c r="AJ94" s="172">
        <f>IF(VLOOKUP(E94,'Pre-Assessment Estimator'!$E$11:$Z$228,'Pre-Assessment Estimator'!$N$2,FALSE)&gt;AB94,AB94,VLOOKUP(E94,'Pre-Assessment Estimator'!$E$11:$Z$228,'Pre-Assessment Estimator'!$N$2,FALSE))</f>
        <v>0</v>
      </c>
      <c r="AK94" s="172">
        <f>IF(VLOOKUP(E94,'Pre-Assessment Estimator'!$E$11:$Z$228,'Pre-Assessment Estimator'!$U$2,FALSE)&gt;AB94,AB94,VLOOKUP(E94,'Pre-Assessment Estimator'!$E$11:$Z$228,'Pre-Assessment Estimator'!$U$2,FALSE))</f>
        <v>0</v>
      </c>
      <c r="AM94" s="292"/>
      <c r="AN94" s="293"/>
      <c r="AO94" s="293"/>
      <c r="AP94" s="293"/>
      <c r="AQ94" s="294"/>
      <c r="AS94" s="292"/>
      <c r="AT94" s="293"/>
      <c r="AU94" s="293"/>
      <c r="AV94" s="293"/>
      <c r="AW94" s="294"/>
      <c r="AY94" s="188"/>
      <c r="AZ94" s="189"/>
      <c r="BA94" s="189"/>
      <c r="BB94" s="189"/>
      <c r="BC94" s="190"/>
      <c r="BD94" s="182">
        <f t="shared" si="160"/>
        <v>9</v>
      </c>
      <c r="BE94" s="164" t="str">
        <f t="shared" si="139"/>
        <v>N/A</v>
      </c>
      <c r="BF94" s="185"/>
      <c r="BG94" s="182">
        <f t="shared" si="161"/>
        <v>9</v>
      </c>
      <c r="BH94" s="164" t="str">
        <f t="shared" si="141"/>
        <v>N/A</v>
      </c>
      <c r="BI94" s="185"/>
      <c r="BJ94" s="182">
        <f t="shared" si="162"/>
        <v>9</v>
      </c>
      <c r="BK94" s="164" t="str">
        <f t="shared" si="142"/>
        <v>N/A</v>
      </c>
      <c r="BL94" s="185"/>
      <c r="BO94" s="167"/>
      <c r="BP94" s="167"/>
      <c r="BQ94" s="167" t="str">
        <f t="shared" si="157"/>
        <v/>
      </c>
      <c r="BR94" s="167">
        <f t="shared" si="55"/>
        <v>9</v>
      </c>
      <c r="BS94" s="167">
        <f t="shared" si="56"/>
        <v>9</v>
      </c>
      <c r="BT94" s="167">
        <f t="shared" si="57"/>
        <v>9</v>
      </c>
      <c r="BW94" s="167"/>
      <c r="BX94" s="167"/>
      <c r="BY94" s="230"/>
      <c r="BZ94" s="167"/>
      <c r="CA94" s="680"/>
      <c r="CB94" s="167"/>
      <c r="CE94" s="167"/>
      <c r="CG94" s="681"/>
    </row>
    <row r="95" spans="1:85" x14ac:dyDescent="0.25">
      <c r="A95" s="96">
        <v>87</v>
      </c>
      <c r="D95" s="701" t="s">
        <v>142</v>
      </c>
      <c r="E95" s="700"/>
      <c r="F95" s="934"/>
      <c r="G95" s="934"/>
      <c r="H95" s="934"/>
      <c r="I95" s="934"/>
      <c r="J95" s="934"/>
      <c r="K95" s="934"/>
      <c r="L95" s="934"/>
      <c r="M95" s="934"/>
      <c r="N95" s="934"/>
      <c r="O95" s="934"/>
      <c r="P95" s="934"/>
      <c r="Q95" s="934"/>
      <c r="R95" s="934"/>
      <c r="T95" s="956"/>
      <c r="U95" s="701"/>
      <c r="V95" s="700"/>
      <c r="W95" s="700"/>
      <c r="X95" s="700"/>
      <c r="Y95" s="955"/>
      <c r="Z95" s="955"/>
      <c r="AA95" s="956"/>
      <c r="AB95" s="957"/>
      <c r="AD95" s="171">
        <f t="shared" si="136"/>
        <v>0</v>
      </c>
      <c r="AE95" s="960">
        <f t="shared" si="144"/>
        <v>0</v>
      </c>
      <c r="AF95" s="960">
        <f t="shared" si="145"/>
        <v>0</v>
      </c>
      <c r="AG95" s="960">
        <f t="shared" si="146"/>
        <v>0</v>
      </c>
      <c r="AI95" s="720"/>
      <c r="AJ95" s="720"/>
      <c r="AK95" s="720"/>
      <c r="AL95" s="96" t="s">
        <v>425</v>
      </c>
      <c r="AM95" s="292"/>
      <c r="AN95" s="293"/>
      <c r="AO95" s="293"/>
      <c r="AP95" s="293"/>
      <c r="AQ95" s="294"/>
      <c r="AR95" s="139"/>
      <c r="AS95" s="292"/>
      <c r="AT95" s="293"/>
      <c r="AU95" s="293"/>
      <c r="AV95" s="293"/>
      <c r="AW95" s="294"/>
      <c r="AY95" s="188"/>
      <c r="AZ95" s="189"/>
      <c r="BA95" s="189"/>
      <c r="BB95" s="189"/>
      <c r="BC95" s="190"/>
      <c r="BD95" s="182">
        <f t="shared" si="160"/>
        <v>9</v>
      </c>
      <c r="BE95" s="164" t="str">
        <f t="shared" si="139"/>
        <v>N/A</v>
      </c>
      <c r="BF95" s="185"/>
      <c r="BG95" s="182">
        <f t="shared" si="161"/>
        <v>9</v>
      </c>
      <c r="BH95" s="164" t="str">
        <f t="shared" si="141"/>
        <v>N/A</v>
      </c>
      <c r="BI95" s="185"/>
      <c r="BJ95" s="182">
        <f t="shared" si="162"/>
        <v>9</v>
      </c>
      <c r="BK95" s="164" t="str">
        <f t="shared" si="142"/>
        <v>N/A</v>
      </c>
      <c r="BL95" s="185"/>
      <c r="BO95" s="167"/>
      <c r="BP95" s="167"/>
      <c r="BQ95" s="167" t="str">
        <f t="shared" si="157"/>
        <v/>
      </c>
      <c r="BR95" s="167">
        <f t="shared" ref="BR95:BR158" si="198">IF(BQ95="",9,(IF(AI95&gt;=BQ95,5,0)))</f>
        <v>9</v>
      </c>
      <c r="BS95" s="167">
        <f t="shared" ref="BS95:BS158" si="199">IF(BQ95="",9,(IF(AJ95&gt;=BQ95,5,0)))</f>
        <v>9</v>
      </c>
      <c r="BT95" s="167">
        <f t="shared" ref="BT95:BT158" si="200">IF(BQ95="",9,(IF(AK95&gt;=BQ95,5,0)))</f>
        <v>9</v>
      </c>
      <c r="BW95" s="167" t="str">
        <f>D95</f>
        <v>Ene 09</v>
      </c>
      <c r="BX95" s="167" t="str">
        <f>IFERROR(VLOOKUP($E95,'Pre-Assessment Estimator'!$E$11:$AB$228,'Pre-Assessment Estimator'!AB$2,FALSE),"")</f>
        <v/>
      </c>
      <c r="BY95" s="230" t="str">
        <f>IFERROR(VLOOKUP($E95,'Pre-Assessment Estimator'!$E$11:$AI$228,'Pre-Assessment Estimator'!AI$2,FALSE),"")</f>
        <v/>
      </c>
      <c r="BZ95" s="167" t="str">
        <f t="shared" ref="BZ95:BZ100" si="201">IFERROR(VLOOKUP($BX95,$E$294:$H$327,F$292,FALSE),"")</f>
        <v/>
      </c>
      <c r="CA95" s="680" t="s">
        <v>430</v>
      </c>
      <c r="CB95" s="167"/>
      <c r="CC95" s="96" t="str">
        <f t="shared" ref="CC95:CC100" si="202">IFERROR(VLOOKUP($BX95,$E$294:$H$327,I$292,FALSE),"")</f>
        <v/>
      </c>
      <c r="CD95" s="681" t="s">
        <v>404</v>
      </c>
      <c r="CE95" s="167">
        <f t="shared" si="197"/>
        <v>1</v>
      </c>
      <c r="CG95" s="681">
        <f>IF($BX$5=ais_nei,CE95,IF(CD95=$BY$5,IF(AND(CA95=$CA$4,BX95=$CC$4),0,BZ95),CE95))</f>
        <v>1</v>
      </c>
    </row>
    <row r="96" spans="1:85" ht="15.75" thickBot="1" x14ac:dyDescent="0.3">
      <c r="A96" s="96">
        <v>88</v>
      </c>
      <c r="D96" s="701" t="s">
        <v>143</v>
      </c>
      <c r="E96" s="700"/>
      <c r="F96" s="934"/>
      <c r="G96" s="934"/>
      <c r="H96" s="934"/>
      <c r="I96" s="934"/>
      <c r="J96" s="934"/>
      <c r="K96" s="934"/>
      <c r="L96" s="934"/>
      <c r="M96" s="934"/>
      <c r="N96" s="934"/>
      <c r="O96" s="934"/>
      <c r="P96" s="934"/>
      <c r="Q96" s="934"/>
      <c r="R96" s="934"/>
      <c r="T96" s="956"/>
      <c r="U96" s="701"/>
      <c r="V96" s="700"/>
      <c r="W96" s="700"/>
      <c r="X96" s="700"/>
      <c r="Y96" s="955"/>
      <c r="Z96" s="955"/>
      <c r="AA96" s="956"/>
      <c r="AB96" s="957"/>
      <c r="AD96" s="171">
        <f t="shared" si="136"/>
        <v>0</v>
      </c>
      <c r="AE96" s="960">
        <f t="shared" si="144"/>
        <v>0</v>
      </c>
      <c r="AF96" s="960">
        <f t="shared" si="145"/>
        <v>0</v>
      </c>
      <c r="AG96" s="960">
        <f t="shared" si="146"/>
        <v>0</v>
      </c>
      <c r="AI96" s="720"/>
      <c r="AJ96" s="720"/>
      <c r="AK96" s="720"/>
      <c r="AM96" s="301"/>
      <c r="AN96" s="302"/>
      <c r="AO96" s="302"/>
      <c r="AP96" s="302"/>
      <c r="AQ96" s="303"/>
      <c r="AR96" s="139"/>
      <c r="AS96" s="301"/>
      <c r="AT96" s="302"/>
      <c r="AU96" s="302"/>
      <c r="AV96" s="302"/>
      <c r="AW96" s="303"/>
      <c r="AY96" s="198"/>
      <c r="AZ96" s="224"/>
      <c r="BA96" s="224"/>
      <c r="BB96" s="224"/>
      <c r="BC96" s="225"/>
      <c r="BD96" s="198">
        <f t="shared" si="60"/>
        <v>9</v>
      </c>
      <c r="BE96" s="164" t="str">
        <f t="shared" si="139"/>
        <v>N/A</v>
      </c>
      <c r="BF96" s="200"/>
      <c r="BG96" s="198">
        <f t="shared" si="140"/>
        <v>9</v>
      </c>
      <c r="BH96" s="164" t="str">
        <f t="shared" si="141"/>
        <v>N/A</v>
      </c>
      <c r="BI96" s="200"/>
      <c r="BJ96" s="198">
        <f t="shared" si="28"/>
        <v>9</v>
      </c>
      <c r="BK96" s="164" t="str">
        <f t="shared" si="142"/>
        <v>N/A</v>
      </c>
      <c r="BL96" s="200"/>
      <c r="BO96" s="167"/>
      <c r="BP96" s="167"/>
      <c r="BQ96" s="167" t="str">
        <f t="shared" si="157"/>
        <v/>
      </c>
      <c r="BR96" s="167">
        <f t="shared" si="198"/>
        <v>9</v>
      </c>
      <c r="BS96" s="167">
        <f t="shared" si="199"/>
        <v>9</v>
      </c>
      <c r="BT96" s="167">
        <f t="shared" si="200"/>
        <v>9</v>
      </c>
      <c r="BW96" s="167" t="str">
        <f>D96</f>
        <v>Ene 23</v>
      </c>
      <c r="BX96" s="167" t="str">
        <f>IFERROR(VLOOKUP($E96,'Pre-Assessment Estimator'!$E$11:$AB$228,'Pre-Assessment Estimator'!AB$2,FALSE),"")</f>
        <v/>
      </c>
      <c r="BY96" s="167" t="str">
        <f>IFERROR(VLOOKUP($E96,'Pre-Assessment Estimator'!$E$11:$AI$228,'Pre-Assessment Estimator'!AI$2,FALSE),"")</f>
        <v/>
      </c>
      <c r="BZ96" s="167" t="str">
        <f t="shared" si="201"/>
        <v/>
      </c>
      <c r="CA96" s="167" t="str">
        <f>IFERROR(VLOOKUP($BX96,$E$294:$H$327,G$292,FALSE),"")</f>
        <v/>
      </c>
      <c r="CB96" s="167"/>
      <c r="CC96" s="96" t="str">
        <f t="shared" si="202"/>
        <v/>
      </c>
    </row>
    <row r="97" spans="1:81" ht="15.75" thickBot="1" x14ac:dyDescent="0.3">
      <c r="A97" s="96">
        <v>89</v>
      </c>
      <c r="B97" s="96" t="s">
        <v>883</v>
      </c>
      <c r="D97" s="201"/>
      <c r="E97" s="202" t="s">
        <v>213</v>
      </c>
      <c r="F97" s="773">
        <f>F69+F75+F79+F83+F86+F90+F93</f>
        <v>27</v>
      </c>
      <c r="G97" s="773">
        <f t="shared" ref="G97:R97" si="203">G69+G75+G79+G83+G86+G90+G93</f>
        <v>22</v>
      </c>
      <c r="H97" s="773">
        <f t="shared" si="203"/>
        <v>20</v>
      </c>
      <c r="I97" s="773">
        <f t="shared" si="203"/>
        <v>27</v>
      </c>
      <c r="J97" s="773">
        <f t="shared" si="203"/>
        <v>27</v>
      </c>
      <c r="K97" s="773">
        <f t="shared" si="203"/>
        <v>22</v>
      </c>
      <c r="L97" s="773">
        <f t="shared" si="203"/>
        <v>22</v>
      </c>
      <c r="M97" s="773">
        <f t="shared" si="203"/>
        <v>22</v>
      </c>
      <c r="N97" s="773">
        <f t="shared" si="203"/>
        <v>22</v>
      </c>
      <c r="O97" s="773">
        <f t="shared" si="203"/>
        <v>22</v>
      </c>
      <c r="P97" s="773">
        <f t="shared" si="203"/>
        <v>22</v>
      </c>
      <c r="Q97" s="773">
        <f t="shared" ref="Q97" si="204">Q69+Q75+Q79+Q83+Q86+Q90+Q93</f>
        <v>27</v>
      </c>
      <c r="R97" s="773">
        <f t="shared" si="203"/>
        <v>27</v>
      </c>
      <c r="T97" s="226">
        <f>HLOOKUP($E$6,$F$9:$R$231,$A97,FALSE)</f>
        <v>27</v>
      </c>
      <c r="U97" s="204"/>
      <c r="V97" s="205"/>
      <c r="W97" s="205"/>
      <c r="X97" s="205"/>
      <c r="Y97" s="206"/>
      <c r="Z97" s="206"/>
      <c r="AA97" s="773">
        <f t="shared" ref="AA97:AG97" si="205">AA69+AA75+AA79+AA83+AA86+AA90+AA93</f>
        <v>0</v>
      </c>
      <c r="AB97" s="773">
        <f t="shared" si="205"/>
        <v>27</v>
      </c>
      <c r="AD97" s="208">
        <f t="shared" si="205"/>
        <v>0.14000000000000001</v>
      </c>
      <c r="AE97" s="208">
        <f t="shared" si="205"/>
        <v>0</v>
      </c>
      <c r="AF97" s="208">
        <f t="shared" si="205"/>
        <v>0</v>
      </c>
      <c r="AG97" s="208">
        <f t="shared" si="205"/>
        <v>0</v>
      </c>
      <c r="AI97" s="78">
        <f t="shared" ref="AI97:AK97" si="206">AI69+AI75+AI79+AI83+AI86+AI90+AI93</f>
        <v>0</v>
      </c>
      <c r="AJ97" s="78">
        <f t="shared" si="206"/>
        <v>0</v>
      </c>
      <c r="AK97" s="78">
        <f t="shared" si="206"/>
        <v>0</v>
      </c>
      <c r="AM97" s="139"/>
      <c r="AN97" s="139"/>
      <c r="AO97" s="139"/>
      <c r="AP97" s="139"/>
      <c r="AQ97" s="139"/>
      <c r="AR97" s="139"/>
      <c r="AS97" s="139"/>
      <c r="AT97" s="139"/>
      <c r="AU97" s="139"/>
      <c r="AV97" s="139"/>
      <c r="AW97" s="139"/>
      <c r="AY97" s="97"/>
      <c r="AZ97" s="209"/>
      <c r="BA97" s="97"/>
      <c r="BB97" s="97"/>
      <c r="BC97" s="97"/>
      <c r="BW97" s="202"/>
      <c r="BX97" s="202" t="str">
        <f>IFERROR(VLOOKUP($E97,'Pre-Assessment Estimator'!$E$11:$AB$228,'Pre-Assessment Estimator'!AB$2,FALSE),"")</f>
        <v/>
      </c>
      <c r="BY97" s="202" t="str">
        <f>IFERROR(VLOOKUP($E97,'Pre-Assessment Estimator'!$E$11:$AI$228,'Pre-Assessment Estimator'!AI$2,FALSE),"")</f>
        <v/>
      </c>
      <c r="BZ97" s="202" t="str">
        <f t="shared" si="201"/>
        <v/>
      </c>
      <c r="CA97" s="202" t="str">
        <f>IFERROR(VLOOKUP($BX97,$E$294:$H$327,G$292,FALSE),"")</f>
        <v/>
      </c>
      <c r="CB97" s="202"/>
      <c r="CC97" s="96" t="str">
        <f t="shared" si="202"/>
        <v/>
      </c>
    </row>
    <row r="98" spans="1:81" ht="15.75" thickBot="1" x14ac:dyDescent="0.3">
      <c r="A98" s="96">
        <v>90</v>
      </c>
      <c r="AI98" s="3"/>
      <c r="AJ98" s="3"/>
      <c r="AK98" s="3"/>
      <c r="AM98" s="139"/>
      <c r="AN98" s="139"/>
      <c r="AO98" s="139"/>
      <c r="AP98" s="139"/>
      <c r="AQ98" s="139"/>
      <c r="AR98" s="139"/>
      <c r="AS98" s="139"/>
      <c r="AT98" s="139"/>
      <c r="AU98" s="139"/>
      <c r="AV98" s="139"/>
      <c r="AW98" s="139"/>
      <c r="AY98" s="97"/>
      <c r="AZ98" s="97"/>
      <c r="BA98" s="97"/>
      <c r="BB98" s="97"/>
      <c r="BC98" s="97"/>
      <c r="BX98" s="96" t="str">
        <f>IFERROR(VLOOKUP($E98,'Pre-Assessment Estimator'!$E$11:$AB$228,'Pre-Assessment Estimator'!AB$2,FALSE),"")</f>
        <v/>
      </c>
      <c r="BY98" s="96" t="str">
        <f>IFERROR(VLOOKUP($E98,'Pre-Assessment Estimator'!$E$11:$AI$228,'Pre-Assessment Estimator'!AI$2,FALSE),"")</f>
        <v/>
      </c>
      <c r="BZ98" s="96" t="str">
        <f t="shared" si="201"/>
        <v/>
      </c>
      <c r="CA98" s="96" t="str">
        <f>IFERROR(VLOOKUP($BX98,$E$294:$H$327,G$292,FALSE),"")</f>
        <v/>
      </c>
      <c r="CC98" s="96" t="str">
        <f t="shared" si="202"/>
        <v/>
      </c>
    </row>
    <row r="99" spans="1:81" ht="60.75" thickBot="1" x14ac:dyDescent="0.3">
      <c r="A99" s="96">
        <v>91</v>
      </c>
      <c r="D99" s="145"/>
      <c r="E99" s="146" t="s">
        <v>66</v>
      </c>
      <c r="F99" s="1241" t="str">
        <f>$F$9</f>
        <v>Office</v>
      </c>
      <c r="G99" s="1241" t="str">
        <f>$G$9</f>
        <v>Retail</v>
      </c>
      <c r="H99" s="1245" t="str">
        <f>$H$9</f>
        <v>Residential</v>
      </c>
      <c r="I99" s="1241" t="str">
        <f>$I$9</f>
        <v>Industrial</v>
      </c>
      <c r="J99" s="1243" t="str">
        <f>$J$9</f>
        <v>Healthcare</v>
      </c>
      <c r="K99" s="1243" t="str">
        <f>$K$9</f>
        <v>Prison</v>
      </c>
      <c r="L99" s="1243" t="str">
        <f>$L$9</f>
        <v>Law Court</v>
      </c>
      <c r="M99" s="1247" t="str">
        <f>$M$9</f>
        <v>Residential institution (long term stay)</v>
      </c>
      <c r="N99" s="918" t="str">
        <f>$N$9</f>
        <v>Residential institution (short term stay)</v>
      </c>
      <c r="O99" s="918" t="str">
        <f>$O$9</f>
        <v>Non-residential institution</v>
      </c>
      <c r="P99" s="918" t="str">
        <f>$P$9</f>
        <v>Assembly and leisure</v>
      </c>
      <c r="Q99" s="1243" t="str">
        <f>$Q$9</f>
        <v>Education</v>
      </c>
      <c r="R99" s="857" t="str">
        <f>$R$9</f>
        <v>Other</v>
      </c>
      <c r="T99" s="138" t="str">
        <f>$E$6</f>
        <v>Office</v>
      </c>
      <c r="U99" s="210"/>
      <c r="V99" s="211"/>
      <c r="W99" s="211"/>
      <c r="X99" s="211"/>
      <c r="Y99" s="1165" t="s">
        <v>411</v>
      </c>
      <c r="Z99" s="347" t="s">
        <v>334</v>
      </c>
      <c r="AA99" s="150" t="s">
        <v>213</v>
      </c>
      <c r="AB99" s="59" t="s">
        <v>15</v>
      </c>
      <c r="AI99" s="42"/>
      <c r="AJ99" s="60"/>
      <c r="AK99" s="60"/>
      <c r="AM99" s="139"/>
      <c r="AN99" s="139"/>
      <c r="AO99" s="139"/>
      <c r="AP99" s="139"/>
      <c r="AQ99" s="139"/>
      <c r="AR99" s="139"/>
      <c r="AS99" s="139"/>
      <c r="AT99" s="139"/>
      <c r="AU99" s="139"/>
      <c r="AV99" s="139"/>
      <c r="AW99" s="139"/>
      <c r="AY99" s="97"/>
      <c r="AZ99" s="97"/>
      <c r="BA99" s="97"/>
      <c r="BB99" s="97"/>
      <c r="BC99" s="97"/>
      <c r="BO99" s="60"/>
      <c r="BP99" s="60"/>
      <c r="BQ99" s="60"/>
      <c r="BR99" s="60"/>
      <c r="BS99" s="60"/>
      <c r="BT99" s="60"/>
      <c r="BW99" s="146"/>
      <c r="BX99" s="146" t="str">
        <f>E99</f>
        <v>Transport</v>
      </c>
      <c r="BY99" s="146">
        <f>IFERROR(VLOOKUP($E99,'Pre-Assessment Estimator'!$E$11:$AI$228,'Pre-Assessment Estimator'!AI$2,FALSE),"")</f>
        <v>0</v>
      </c>
      <c r="BZ99" s="146" t="str">
        <f t="shared" si="201"/>
        <v/>
      </c>
      <c r="CA99" s="146" t="str">
        <f>IFERROR(VLOOKUP($BX99,$E$294:$H$327,G$292,FALSE),"")</f>
        <v/>
      </c>
      <c r="CB99" s="146"/>
      <c r="CC99" s="96" t="str">
        <f t="shared" si="202"/>
        <v/>
      </c>
    </row>
    <row r="100" spans="1:81" x14ac:dyDescent="0.25">
      <c r="A100" s="96">
        <v>92</v>
      </c>
      <c r="B100" s="137" t="str">
        <f>D100</f>
        <v>Tra 01</v>
      </c>
      <c r="C100" s="137" t="str">
        <f>B100</f>
        <v>Tra 01</v>
      </c>
      <c r="D100" s="833" t="s">
        <v>146</v>
      </c>
      <c r="E100" s="831" t="s">
        <v>460</v>
      </c>
      <c r="F100" s="933">
        <f>SUM(F101:F102)</f>
        <v>3</v>
      </c>
      <c r="G100" s="933">
        <f t="shared" ref="G100:R100" si="207">SUM(G101:G102)</f>
        <v>3</v>
      </c>
      <c r="H100" s="933">
        <f t="shared" si="207"/>
        <v>3</v>
      </c>
      <c r="I100" s="933">
        <f t="shared" si="207"/>
        <v>3</v>
      </c>
      <c r="J100" s="933">
        <f t="shared" si="207"/>
        <v>3</v>
      </c>
      <c r="K100" s="933">
        <f t="shared" si="207"/>
        <v>3</v>
      </c>
      <c r="L100" s="933">
        <f t="shared" si="207"/>
        <v>3</v>
      </c>
      <c r="M100" s="933">
        <f t="shared" si="207"/>
        <v>3</v>
      </c>
      <c r="N100" s="933">
        <f t="shared" si="207"/>
        <v>3</v>
      </c>
      <c r="O100" s="933">
        <f t="shared" si="207"/>
        <v>3</v>
      </c>
      <c r="P100" s="933">
        <f t="shared" si="207"/>
        <v>3</v>
      </c>
      <c r="Q100" s="933">
        <f t="shared" ref="Q100" si="208">SUM(Q101:Q102)</f>
        <v>3</v>
      </c>
      <c r="R100" s="933">
        <f t="shared" si="207"/>
        <v>3</v>
      </c>
      <c r="T100" s="150">
        <f t="shared" ref="T100:T105" si="209">HLOOKUP($E$6,$F$9:$R$231,$A100,FALSE)</f>
        <v>3</v>
      </c>
      <c r="U100" s="222"/>
      <c r="V100" s="230"/>
      <c r="W100" s="230"/>
      <c r="X100" s="230">
        <f>'Manuell filtrering og justering'!E43</f>
        <v>0</v>
      </c>
      <c r="Y100" s="230"/>
      <c r="Z100" s="958">
        <f t="shared" ref="Z100" si="210">SUM(Z101:Z102)</f>
        <v>3</v>
      </c>
      <c r="AA100" s="963">
        <f t="shared" ref="AA100:AA105" si="211">IF(SUM(U100:Y100)&gt;T100,T100,SUM(U100:Y100))</f>
        <v>0</v>
      </c>
      <c r="AB100" s="1066">
        <f t="shared" ref="AB100" si="212">SUM(AB101:AB102)</f>
        <v>3</v>
      </c>
      <c r="AD100" s="171">
        <f t="shared" ref="AD100:AD109" si="213">(Tra_Weight/Tra_Credits)*AB100</f>
        <v>2.3076923076923078E-2</v>
      </c>
      <c r="AE100" s="921">
        <f>SUM(AE101:AE102)</f>
        <v>0</v>
      </c>
      <c r="AF100" s="921">
        <f t="shared" ref="AF100" si="214">SUM(AF101:AF102)</f>
        <v>0</v>
      </c>
      <c r="AG100" s="921">
        <f t="shared" ref="AG100" si="215">SUM(AG101:AG102)</f>
        <v>0</v>
      </c>
      <c r="AI100" s="958">
        <f t="shared" ref="AI100" si="216">SUM(AI101:AI102)</f>
        <v>0</v>
      </c>
      <c r="AJ100" s="958">
        <f t="shared" ref="AJ100" si="217">SUM(AJ101:AJ102)</f>
        <v>0</v>
      </c>
      <c r="AK100" s="958">
        <f t="shared" ref="AK100" si="218">SUM(AK101:AK102)</f>
        <v>0</v>
      </c>
      <c r="AM100" s="298"/>
      <c r="AN100" s="299"/>
      <c r="AO100" s="299"/>
      <c r="AP100" s="299"/>
      <c r="AQ100" s="300"/>
      <c r="AR100" s="139"/>
      <c r="AS100" s="298"/>
      <c r="AT100" s="299"/>
      <c r="AU100" s="299"/>
      <c r="AV100" s="299"/>
      <c r="AW100" s="300"/>
      <c r="AY100" s="218"/>
      <c r="AZ100" s="219"/>
      <c r="BA100" s="219"/>
      <c r="BB100" s="219"/>
      <c r="BC100" s="220"/>
      <c r="BD100" s="174">
        <f t="shared" si="60"/>
        <v>9</v>
      </c>
      <c r="BE100" s="164" t="str">
        <f t="shared" ref="BE100:BE109" si="219">VLOOKUP(BD100,$BO$285:$BT$291,6,FALSE)</f>
        <v>N/A</v>
      </c>
      <c r="BF100" s="178"/>
      <c r="BG100" s="174">
        <f t="shared" ref="BG100:BG109" si="220">IF(BC100=0,9,IF(AJ100&gt;=BC100,5,IF(AJ100&gt;=BB100,4,IF(AJ100&gt;=BA100,3,IF(AJ100&gt;=AZ100,2,IF(AJ100&lt;AY100,0,1))))))</f>
        <v>9</v>
      </c>
      <c r="BH100" s="164" t="str">
        <f t="shared" ref="BH100:BH109" si="221">VLOOKUP(BG100,$BO$285:$BT$291,6,FALSE)</f>
        <v>N/A</v>
      </c>
      <c r="BI100" s="178"/>
      <c r="BJ100" s="174">
        <f t="shared" si="28"/>
        <v>9</v>
      </c>
      <c r="BK100" s="164" t="str">
        <f t="shared" ref="BK100:BK109" si="222">VLOOKUP(BJ100,$BO$285:$BT$291,6,FALSE)</f>
        <v>N/A</v>
      </c>
      <c r="BL100" s="178"/>
      <c r="BO100" s="167"/>
      <c r="BP100" s="167"/>
      <c r="BQ100" s="167" t="str">
        <f t="shared" si="157"/>
        <v/>
      </c>
      <c r="BR100" s="167">
        <f t="shared" si="198"/>
        <v>9</v>
      </c>
      <c r="BS100" s="167">
        <f t="shared" si="199"/>
        <v>9</v>
      </c>
      <c r="BT100" s="167">
        <f t="shared" si="200"/>
        <v>9</v>
      </c>
      <c r="BW100" s="164" t="str">
        <f>D100</f>
        <v>Tra 01</v>
      </c>
      <c r="BX100" s="164" t="str">
        <f>IFERROR(VLOOKUP($E100,'Pre-Assessment Estimator'!$E$11:$AB$228,'Pre-Assessment Estimator'!AB$2,FALSE),"")</f>
        <v>N/A</v>
      </c>
      <c r="BY100" s="164">
        <f>IFERROR(VLOOKUP($E100,'Pre-Assessment Estimator'!$E$11:$AI$228,'Pre-Assessment Estimator'!AI$2,FALSE),"")</f>
        <v>0</v>
      </c>
      <c r="BZ100" s="164">
        <f t="shared" si="201"/>
        <v>1</v>
      </c>
      <c r="CA100" s="164">
        <f>IFERROR(VLOOKUP($BX100,$E$294:$H$327,G$292,FALSE),"")</f>
        <v>0</v>
      </c>
      <c r="CB100" s="164"/>
      <c r="CC100" s="96" t="str">
        <f t="shared" si="202"/>
        <v/>
      </c>
    </row>
    <row r="101" spans="1:81" x14ac:dyDescent="0.25">
      <c r="A101" s="96">
        <v>93</v>
      </c>
      <c r="B101" s="96" t="str">
        <f t="shared" ref="B101:B102" si="223">$D$100&amp;D101</f>
        <v>Tra 01a</v>
      </c>
      <c r="C101" s="96" t="str">
        <f t="shared" si="159"/>
        <v>Tra 01</v>
      </c>
      <c r="D101" s="163" t="s">
        <v>692</v>
      </c>
      <c r="E101" s="1123" t="s">
        <v>636</v>
      </c>
      <c r="F101" s="939">
        <v>2</v>
      </c>
      <c r="G101" s="939">
        <v>2</v>
      </c>
      <c r="H101" s="939">
        <v>2</v>
      </c>
      <c r="I101" s="939">
        <v>2</v>
      </c>
      <c r="J101" s="939">
        <v>2</v>
      </c>
      <c r="K101" s="939">
        <v>2</v>
      </c>
      <c r="L101" s="939">
        <v>2</v>
      </c>
      <c r="M101" s="939">
        <v>2</v>
      </c>
      <c r="N101" s="939">
        <v>2</v>
      </c>
      <c r="O101" s="939">
        <v>2</v>
      </c>
      <c r="P101" s="939">
        <v>2</v>
      </c>
      <c r="Q101" s="939">
        <v>2</v>
      </c>
      <c r="R101" s="939">
        <v>2</v>
      </c>
      <c r="T101" s="221">
        <f t="shared" si="209"/>
        <v>2</v>
      </c>
      <c r="U101" s="1024">
        <f>IF(AND(ADBT0=ADBT8,'Assessment Details'!F6='Assessment Details'!U7),T101,0)*0</f>
        <v>0</v>
      </c>
      <c r="V101" s="167"/>
      <c r="W101" s="167"/>
      <c r="X101" s="167"/>
      <c r="Y101" s="168"/>
      <c r="Z101" s="168">
        <f>VLOOKUP(B101,'Manuell filtrering og justering'!$A$7:$H$107,'Manuell filtrering og justering'!$H$1,FALSE)</f>
        <v>2</v>
      </c>
      <c r="AA101" s="169">
        <f t="shared" si="211"/>
        <v>0</v>
      </c>
      <c r="AB101" s="170">
        <f>IF($AC$5='Manuell filtrering og justering'!$J$2,Z101,(T101-AA101))</f>
        <v>2</v>
      </c>
      <c r="AD101" s="171">
        <f t="shared" si="213"/>
        <v>1.5384615384615385E-2</v>
      </c>
      <c r="AE101" s="171">
        <f t="shared" ref="AE101:AE105" si="224">IF(AB101=0,0,(AD101/AB101)*AI101)</f>
        <v>0</v>
      </c>
      <c r="AF101" s="171">
        <f t="shared" ref="AF101:AF105" si="225">IF(AB101=0,0,(AD101/AB101)*AJ101)</f>
        <v>0</v>
      </c>
      <c r="AG101" s="171">
        <f t="shared" ref="AG101:AG105" si="226">IF(AB101=0,0,(AD101/AB101)*AK101)</f>
        <v>0</v>
      </c>
      <c r="AI101" s="172">
        <f>IF(VLOOKUP(E101,'Pre-Assessment Estimator'!$E$11:$Z$228,'Pre-Assessment Estimator'!$G$2,FALSE)&gt;AB101,AB101,VLOOKUP(E101,'Pre-Assessment Estimator'!$E$11:$Z$228,'Pre-Assessment Estimator'!$G$2,FALSE))</f>
        <v>0</v>
      </c>
      <c r="AJ101" s="172">
        <f>IF(VLOOKUP(E101,'Pre-Assessment Estimator'!$E$11:$Z$228,'Pre-Assessment Estimator'!$N$2,FALSE)&gt;AB101,AB101,VLOOKUP(E101,'Pre-Assessment Estimator'!$E$11:$Z$228,'Pre-Assessment Estimator'!$N$2,FALSE))</f>
        <v>0</v>
      </c>
      <c r="AK101" s="172">
        <f>IF(VLOOKUP(E101,'Pre-Assessment Estimator'!$E$11:$Z$228,'Pre-Assessment Estimator'!$U$2,FALSE)&gt;AB101,AB101,VLOOKUP(E101,'Pre-Assessment Estimator'!$E$11:$Z$228,'Pre-Assessment Estimator'!$U$2,FALSE))</f>
        <v>0</v>
      </c>
      <c r="AM101" s="835"/>
      <c r="AN101" s="836"/>
      <c r="AO101" s="836"/>
      <c r="AP101" s="836"/>
      <c r="AQ101" s="837"/>
      <c r="AR101" s="139"/>
      <c r="AS101" s="835"/>
      <c r="AT101" s="836"/>
      <c r="AU101" s="836"/>
      <c r="AV101" s="836"/>
      <c r="AW101" s="837"/>
      <c r="AY101" s="708"/>
      <c r="AZ101" s="709"/>
      <c r="BA101" s="709"/>
      <c r="BB101" s="709"/>
      <c r="BC101" s="838"/>
      <c r="BD101" s="182">
        <f t="shared" ref="BD101:BD105" si="227">IF(BC101=0,9,IF(AI101&gt;=BC101,5,IF(AI101&gt;=BB101,4,IF(AI101&gt;=BA101,3,IF(AI101&gt;=AZ101,2,IF(AI101&lt;AY101,0,1))))))</f>
        <v>9</v>
      </c>
      <c r="BE101" s="164" t="str">
        <f t="shared" si="219"/>
        <v>N/A</v>
      </c>
      <c r="BF101" s="185"/>
      <c r="BG101" s="182">
        <f t="shared" ref="BG101:BG105" si="228">IF(BC101=0,9,IF(AJ101&gt;=BC101,5,IF(AJ101&gt;=BB101,4,IF(AJ101&gt;=BA101,3,IF(AJ101&gt;=AZ101,2,IF(AJ101&lt;AY101,0,1))))))</f>
        <v>9</v>
      </c>
      <c r="BH101" s="164" t="str">
        <f t="shared" si="221"/>
        <v>N/A</v>
      </c>
      <c r="BI101" s="185"/>
      <c r="BJ101" s="182">
        <f t="shared" ref="BJ101:BJ105" si="229">IF(BC101=0,9,IF(AK101&gt;=BC101,5,IF(AK101&gt;=BB101,4,IF(AK101&gt;=BA101,3,IF(AK101&gt;=AZ101,2,IF(AK101&lt;AY101,0,1))))))</f>
        <v>9</v>
      </c>
      <c r="BK101" s="164" t="str">
        <f t="shared" si="222"/>
        <v>N/A</v>
      </c>
      <c r="BL101" s="830"/>
      <c r="BO101" s="167"/>
      <c r="BP101" s="167"/>
      <c r="BQ101" s="167" t="str">
        <f t="shared" si="157"/>
        <v/>
      </c>
      <c r="BR101" s="167">
        <f t="shared" si="198"/>
        <v>9</v>
      </c>
      <c r="BS101" s="167">
        <f t="shared" si="199"/>
        <v>9</v>
      </c>
      <c r="BT101" s="167">
        <f t="shared" si="200"/>
        <v>9</v>
      </c>
      <c r="BW101" s="164"/>
      <c r="BX101" s="164"/>
      <c r="BY101" s="164"/>
      <c r="BZ101" s="164"/>
      <c r="CA101" s="164"/>
      <c r="CB101" s="164"/>
    </row>
    <row r="102" spans="1:81" x14ac:dyDescent="0.25">
      <c r="A102" s="96">
        <v>94</v>
      </c>
      <c r="B102" s="96" t="str">
        <f t="shared" si="223"/>
        <v>Tra 01b</v>
      </c>
      <c r="C102" s="96" t="str">
        <f t="shared" si="159"/>
        <v>Tra 01</v>
      </c>
      <c r="D102" s="163" t="s">
        <v>695</v>
      </c>
      <c r="E102" s="1123" t="s">
        <v>637</v>
      </c>
      <c r="F102" s="939">
        <v>1</v>
      </c>
      <c r="G102" s="939">
        <v>1</v>
      </c>
      <c r="H102" s="939">
        <v>1</v>
      </c>
      <c r="I102" s="939">
        <v>1</v>
      </c>
      <c r="J102" s="939">
        <v>1</v>
      </c>
      <c r="K102" s="939">
        <v>1</v>
      </c>
      <c r="L102" s="939">
        <v>1</v>
      </c>
      <c r="M102" s="939">
        <v>1</v>
      </c>
      <c r="N102" s="939">
        <v>1</v>
      </c>
      <c r="O102" s="939">
        <v>1</v>
      </c>
      <c r="P102" s="939">
        <v>1</v>
      </c>
      <c r="Q102" s="939">
        <v>1</v>
      </c>
      <c r="R102" s="939">
        <v>1</v>
      </c>
      <c r="T102" s="221">
        <f t="shared" si="209"/>
        <v>1</v>
      </c>
      <c r="U102" s="188"/>
      <c r="V102" s="167"/>
      <c r="W102" s="167"/>
      <c r="X102" s="167"/>
      <c r="Y102" s="168"/>
      <c r="Z102" s="168">
        <f>VLOOKUP(B102,'Manuell filtrering og justering'!$A$7:$H$107,'Manuell filtrering og justering'!$H$1,FALSE)</f>
        <v>1</v>
      </c>
      <c r="AA102" s="169">
        <f t="shared" si="211"/>
        <v>0</v>
      </c>
      <c r="AB102" s="170">
        <f>IF($AC$5='Manuell filtrering og justering'!$J$2,Z102,(T102-AA102))</f>
        <v>1</v>
      </c>
      <c r="AD102" s="171">
        <f t="shared" si="213"/>
        <v>7.6923076923076927E-3</v>
      </c>
      <c r="AE102" s="171">
        <f t="shared" si="224"/>
        <v>0</v>
      </c>
      <c r="AF102" s="171">
        <f t="shared" si="225"/>
        <v>0</v>
      </c>
      <c r="AG102" s="171">
        <f t="shared" si="226"/>
        <v>0</v>
      </c>
      <c r="AI102" s="172">
        <f>IF(VLOOKUP(E102,'Pre-Assessment Estimator'!$E$11:$Z$228,'Pre-Assessment Estimator'!$G$2,FALSE)&gt;AB102,AB102,VLOOKUP(E102,'Pre-Assessment Estimator'!$E$11:$Z$228,'Pre-Assessment Estimator'!$G$2,FALSE))</f>
        <v>0</v>
      </c>
      <c r="AJ102" s="172">
        <f>IF(VLOOKUP(E102,'Pre-Assessment Estimator'!$E$11:$Z$228,'Pre-Assessment Estimator'!$N$2,FALSE)&gt;AB102,AB102,VLOOKUP(E102,'Pre-Assessment Estimator'!$E$11:$Z$228,'Pre-Assessment Estimator'!$N$2,FALSE))</f>
        <v>0</v>
      </c>
      <c r="AK102" s="172">
        <f>IF(VLOOKUP(E102,'Pre-Assessment Estimator'!$E$11:$Z$228,'Pre-Assessment Estimator'!$U$2,FALSE)&gt;AB102,AB102,VLOOKUP(E102,'Pre-Assessment Estimator'!$E$11:$Z$228,'Pre-Assessment Estimator'!$U$2,FALSE))</f>
        <v>0</v>
      </c>
      <c r="AM102" s="835"/>
      <c r="AN102" s="836"/>
      <c r="AO102" s="836"/>
      <c r="AP102" s="836">
        <v>1</v>
      </c>
      <c r="AQ102" s="837">
        <v>1</v>
      </c>
      <c r="AR102" s="139"/>
      <c r="AS102" s="835"/>
      <c r="AT102" s="836"/>
      <c r="AU102" s="836"/>
      <c r="AV102" s="836">
        <v>1</v>
      </c>
      <c r="AW102" s="837">
        <v>1</v>
      </c>
      <c r="AY102" s="708"/>
      <c r="AZ102" s="709"/>
      <c r="BA102" s="709"/>
      <c r="BB102" s="183">
        <f>IF($AB102=0,0,IF($E$6=$H$9,AV102,AP102))</f>
        <v>1</v>
      </c>
      <c r="BC102" s="183">
        <f>IF($AB102=0,0,IF($E$6=$H$9,AW102,AQ102))</f>
        <v>1</v>
      </c>
      <c r="BD102" s="182">
        <f t="shared" si="227"/>
        <v>3</v>
      </c>
      <c r="BE102" s="164" t="str">
        <f t="shared" si="219"/>
        <v>Very Good</v>
      </c>
      <c r="BF102" s="185"/>
      <c r="BG102" s="182">
        <f t="shared" si="228"/>
        <v>3</v>
      </c>
      <c r="BH102" s="164" t="str">
        <f t="shared" si="221"/>
        <v>Very Good</v>
      </c>
      <c r="BI102" s="185"/>
      <c r="BJ102" s="182">
        <f t="shared" si="229"/>
        <v>3</v>
      </c>
      <c r="BK102" s="164" t="str">
        <f t="shared" si="222"/>
        <v>Very Good</v>
      </c>
      <c r="BL102" s="830"/>
      <c r="BO102" s="167"/>
      <c r="BP102" s="167"/>
      <c r="BQ102" s="167" t="str">
        <f t="shared" si="157"/>
        <v/>
      </c>
      <c r="BR102" s="167">
        <f t="shared" si="198"/>
        <v>9</v>
      </c>
      <c r="BS102" s="167">
        <f t="shared" si="199"/>
        <v>9</v>
      </c>
      <c r="BT102" s="167">
        <f t="shared" si="200"/>
        <v>9</v>
      </c>
      <c r="BW102" s="164"/>
      <c r="BX102" s="164"/>
      <c r="BY102" s="164"/>
      <c r="BZ102" s="164"/>
      <c r="CA102" s="164"/>
      <c r="CB102" s="164"/>
    </row>
    <row r="103" spans="1:81" x14ac:dyDescent="0.25">
      <c r="A103" s="96">
        <v>95</v>
      </c>
      <c r="B103" s="137" t="str">
        <f>D103</f>
        <v>Tra 02</v>
      </c>
      <c r="C103" s="137" t="str">
        <f>B103</f>
        <v>Tra 02</v>
      </c>
      <c r="D103" s="834" t="s">
        <v>147</v>
      </c>
      <c r="E103" s="832" t="s">
        <v>461</v>
      </c>
      <c r="F103" s="933">
        <f>SUM(F104:F105)</f>
        <v>10</v>
      </c>
      <c r="G103" s="933">
        <f t="shared" ref="G103:R103" si="230">SUM(G104:G105)</f>
        <v>10</v>
      </c>
      <c r="H103" s="933">
        <f t="shared" si="230"/>
        <v>10</v>
      </c>
      <c r="I103" s="933">
        <f t="shared" si="230"/>
        <v>10</v>
      </c>
      <c r="J103" s="933">
        <f t="shared" si="230"/>
        <v>10</v>
      </c>
      <c r="K103" s="933">
        <f t="shared" si="230"/>
        <v>10</v>
      </c>
      <c r="L103" s="933">
        <f t="shared" si="230"/>
        <v>10</v>
      </c>
      <c r="M103" s="933">
        <f t="shared" si="230"/>
        <v>10</v>
      </c>
      <c r="N103" s="933">
        <f t="shared" si="230"/>
        <v>10</v>
      </c>
      <c r="O103" s="933">
        <f t="shared" si="230"/>
        <v>10</v>
      </c>
      <c r="P103" s="933">
        <f t="shared" si="230"/>
        <v>10</v>
      </c>
      <c r="Q103" s="933">
        <f t="shared" ref="Q103" si="231">SUM(Q104:Q105)</f>
        <v>10</v>
      </c>
      <c r="R103" s="933">
        <f t="shared" si="230"/>
        <v>10</v>
      </c>
      <c r="T103" s="963">
        <f t="shared" si="209"/>
        <v>10</v>
      </c>
      <c r="U103" s="222"/>
      <c r="V103" s="230"/>
      <c r="W103" s="230"/>
      <c r="X103" s="230">
        <f>'Manuell filtrering og justering'!E44</f>
        <v>0</v>
      </c>
      <c r="Y103" s="230"/>
      <c r="Z103" s="958">
        <f t="shared" ref="Z103" si="232">SUM(Z104:Z105)</f>
        <v>10</v>
      </c>
      <c r="AA103" s="963">
        <f t="shared" si="211"/>
        <v>0</v>
      </c>
      <c r="AB103" s="1066">
        <f t="shared" ref="AB103" si="233">SUM(AB104:AB105)</f>
        <v>10</v>
      </c>
      <c r="AD103" s="171">
        <f t="shared" si="213"/>
        <v>7.6923076923076927E-2</v>
      </c>
      <c r="AE103" s="921">
        <f>SUM(AE104:AE105)</f>
        <v>0</v>
      </c>
      <c r="AF103" s="921">
        <f t="shared" ref="AF103" si="234">SUM(AF104:AF105)</f>
        <v>0</v>
      </c>
      <c r="AG103" s="921">
        <f t="shared" ref="AG103" si="235">SUM(AG104:AG105)</f>
        <v>0</v>
      </c>
      <c r="AI103" s="958">
        <f t="shared" ref="AI103" si="236">SUM(AI104:AI105)</f>
        <v>0</v>
      </c>
      <c r="AJ103" s="958">
        <f t="shared" ref="AJ103" si="237">SUM(AJ104:AJ105)</f>
        <v>0</v>
      </c>
      <c r="AK103" s="958">
        <f t="shared" ref="AK103" si="238">SUM(AK104:AK105)</f>
        <v>0</v>
      </c>
      <c r="AM103" s="292"/>
      <c r="AN103" s="293"/>
      <c r="AO103" s="293"/>
      <c r="AP103" s="293"/>
      <c r="AQ103" s="294"/>
      <c r="AR103" s="139"/>
      <c r="AS103" s="292"/>
      <c r="AT103" s="293"/>
      <c r="AU103" s="293"/>
      <c r="AV103" s="293"/>
      <c r="AW103" s="294"/>
      <c r="AY103" s="188"/>
      <c r="AZ103" s="189"/>
      <c r="BA103" s="189"/>
      <c r="BB103" s="189"/>
      <c r="BC103" s="190"/>
      <c r="BD103" s="182">
        <f t="shared" si="227"/>
        <v>9</v>
      </c>
      <c r="BE103" s="164" t="str">
        <f t="shared" si="219"/>
        <v>N/A</v>
      </c>
      <c r="BF103" s="185"/>
      <c r="BG103" s="182">
        <f t="shared" si="228"/>
        <v>9</v>
      </c>
      <c r="BH103" s="164" t="str">
        <f t="shared" si="221"/>
        <v>N/A</v>
      </c>
      <c r="BI103" s="185"/>
      <c r="BJ103" s="182">
        <f t="shared" si="229"/>
        <v>9</v>
      </c>
      <c r="BK103" s="164" t="str">
        <f t="shared" si="222"/>
        <v>N/A</v>
      </c>
      <c r="BL103" s="185"/>
      <c r="BO103" s="167"/>
      <c r="BP103" s="167"/>
      <c r="BQ103" s="167" t="str">
        <f t="shared" si="157"/>
        <v/>
      </c>
      <c r="BR103" s="167">
        <f t="shared" si="198"/>
        <v>9</v>
      </c>
      <c r="BS103" s="167">
        <f t="shared" si="199"/>
        <v>9</v>
      </c>
      <c r="BT103" s="167">
        <f t="shared" si="200"/>
        <v>9</v>
      </c>
      <c r="BW103" s="167" t="str">
        <f>D103</f>
        <v>Tra 02</v>
      </c>
      <c r="BX103" s="167" t="str">
        <f>IFERROR(VLOOKUP($E103,'Pre-Assessment Estimator'!$E$11:$AB$228,'Pre-Assessment Estimator'!AB$2,FALSE),"")</f>
        <v>N/A</v>
      </c>
      <c r="BY103" s="167">
        <f>IFERROR(VLOOKUP($E103,'Pre-Assessment Estimator'!$E$11:$AI$228,'Pre-Assessment Estimator'!AI$2,FALSE),"")</f>
        <v>0</v>
      </c>
      <c r="BZ103" s="167">
        <f>IFERROR(VLOOKUP($BX103,$E$294:$H$327,F$292,FALSE),"")</f>
        <v>1</v>
      </c>
      <c r="CA103" s="167">
        <f>IFERROR(VLOOKUP($BX103,$E$294:$H$327,G$292,FALSE),"")</f>
        <v>0</v>
      </c>
      <c r="CB103" s="167"/>
      <c r="CC103" s="96" t="str">
        <f>IFERROR(VLOOKUP($BX103,$E$294:$H$327,I$292,FALSE),"")</f>
        <v/>
      </c>
    </row>
    <row r="104" spans="1:81" x14ac:dyDescent="0.25">
      <c r="A104" s="96">
        <v>96</v>
      </c>
      <c r="C104" s="96" t="str">
        <f t="shared" si="159"/>
        <v>Tra 02</v>
      </c>
      <c r="D104" s="163" t="s">
        <v>692</v>
      </c>
      <c r="E104" s="1123" t="s">
        <v>994</v>
      </c>
      <c r="F104" s="775">
        <v>0</v>
      </c>
      <c r="G104" s="775">
        <v>0</v>
      </c>
      <c r="H104" s="775">
        <v>0</v>
      </c>
      <c r="I104" s="775">
        <v>0</v>
      </c>
      <c r="J104" s="775">
        <v>0</v>
      </c>
      <c r="K104" s="775">
        <v>0</v>
      </c>
      <c r="L104" s="775">
        <v>0</v>
      </c>
      <c r="M104" s="775">
        <v>0</v>
      </c>
      <c r="N104" s="775">
        <v>0</v>
      </c>
      <c r="O104" s="775">
        <v>0</v>
      </c>
      <c r="P104" s="775">
        <v>0</v>
      </c>
      <c r="Q104" s="775">
        <v>0</v>
      </c>
      <c r="R104" s="775">
        <v>0</v>
      </c>
      <c r="T104" s="221">
        <f t="shared" si="209"/>
        <v>0</v>
      </c>
      <c r="U104" s="166"/>
      <c r="V104" s="167"/>
      <c r="W104" s="167"/>
      <c r="X104" s="167"/>
      <c r="Y104" s="168"/>
      <c r="Z104" s="168"/>
      <c r="AA104" s="169">
        <f t="shared" si="211"/>
        <v>0</v>
      </c>
      <c r="AB104" s="170"/>
      <c r="AD104" s="171">
        <f t="shared" si="213"/>
        <v>0</v>
      </c>
      <c r="AE104" s="171">
        <f t="shared" si="224"/>
        <v>0</v>
      </c>
      <c r="AF104" s="171">
        <f t="shared" si="225"/>
        <v>0</v>
      </c>
      <c r="AG104" s="171">
        <f t="shared" si="226"/>
        <v>0</v>
      </c>
      <c r="AI104" s="172">
        <f>IF(VLOOKUP(E104,'Pre-Assessment Estimator'!$E$11:$Z$228,'Pre-Assessment Estimator'!$G$2,FALSE)&gt;AB104,AB104,VLOOKUP(E104,'Pre-Assessment Estimator'!$E$11:$Z$228,'Pre-Assessment Estimator'!$G$2,FALSE))</f>
        <v>0</v>
      </c>
      <c r="AJ104" s="172">
        <f>IF(VLOOKUP(E104,'Pre-Assessment Estimator'!$E$11:$Z$228,'Pre-Assessment Estimator'!$N$2,FALSE)&gt;AB104,AB104,VLOOKUP(E104,'Pre-Assessment Estimator'!$E$11:$Z$228,'Pre-Assessment Estimator'!$N$2,FALSE))</f>
        <v>0</v>
      </c>
      <c r="AK104" s="172">
        <f>IF(VLOOKUP(E104,'Pre-Assessment Estimator'!$E$11:$Z$228,'Pre-Assessment Estimator'!$U$2,FALSE)&gt;AB104,AB104,VLOOKUP(E104,'Pre-Assessment Estimator'!$E$11:$Z$228,'Pre-Assessment Estimator'!$U$2,FALSE))</f>
        <v>0</v>
      </c>
      <c r="AM104" s="292"/>
      <c r="AN104" s="293"/>
      <c r="AO104" s="293"/>
      <c r="AP104" s="293"/>
      <c r="AQ104" s="294"/>
      <c r="AR104" s="139"/>
      <c r="AS104" s="292"/>
      <c r="AT104" s="293"/>
      <c r="AU104" s="293"/>
      <c r="AV104" s="293"/>
      <c r="AW104" s="294"/>
      <c r="AY104" s="188"/>
      <c r="AZ104" s="189"/>
      <c r="BA104" s="189"/>
      <c r="BB104" s="189"/>
      <c r="BC104" s="190"/>
      <c r="BD104" s="182">
        <f t="shared" si="227"/>
        <v>9</v>
      </c>
      <c r="BE104" s="164" t="str">
        <f t="shared" si="219"/>
        <v>N/A</v>
      </c>
      <c r="BF104" s="185"/>
      <c r="BG104" s="182">
        <f t="shared" si="228"/>
        <v>9</v>
      </c>
      <c r="BH104" s="164" t="str">
        <f t="shared" si="221"/>
        <v>N/A</v>
      </c>
      <c r="BI104" s="185"/>
      <c r="BJ104" s="182">
        <f t="shared" si="229"/>
        <v>9</v>
      </c>
      <c r="BK104" s="164" t="str">
        <f t="shared" si="222"/>
        <v>N/A</v>
      </c>
      <c r="BL104" s="185"/>
      <c r="BO104" s="167"/>
      <c r="BP104" s="167"/>
      <c r="BQ104" s="167" t="str">
        <f t="shared" si="157"/>
        <v/>
      </c>
      <c r="BR104" s="167">
        <f t="shared" si="198"/>
        <v>9</v>
      </c>
      <c r="BS104" s="167">
        <f t="shared" si="199"/>
        <v>9</v>
      </c>
      <c r="BT104" s="167">
        <f t="shared" si="200"/>
        <v>9</v>
      </c>
      <c r="BW104" s="167"/>
      <c r="BX104" s="167"/>
      <c r="BY104" s="167"/>
      <c r="BZ104" s="167"/>
      <c r="CA104" s="167"/>
      <c r="CB104" s="167"/>
    </row>
    <row r="105" spans="1:81" x14ac:dyDescent="0.25">
      <c r="A105" s="96">
        <v>97</v>
      </c>
      <c r="B105" s="96" t="str">
        <f t="shared" ref="B105" si="239">$D$103&amp;D105</f>
        <v>Tra 02b</v>
      </c>
      <c r="C105" s="96" t="str">
        <f t="shared" si="159"/>
        <v>Tra 02</v>
      </c>
      <c r="D105" s="163" t="s">
        <v>695</v>
      </c>
      <c r="E105" s="1123" t="s">
        <v>639</v>
      </c>
      <c r="F105" s="775">
        <v>10</v>
      </c>
      <c r="G105" s="775">
        <v>10</v>
      </c>
      <c r="H105" s="775">
        <v>10</v>
      </c>
      <c r="I105" s="775">
        <v>10</v>
      </c>
      <c r="J105" s="775">
        <v>10</v>
      </c>
      <c r="K105" s="775">
        <v>10</v>
      </c>
      <c r="L105" s="775">
        <v>10</v>
      </c>
      <c r="M105" s="775">
        <v>10</v>
      </c>
      <c r="N105" s="775">
        <v>10</v>
      </c>
      <c r="O105" s="775">
        <v>10</v>
      </c>
      <c r="P105" s="775">
        <v>10</v>
      </c>
      <c r="Q105" s="775">
        <v>10</v>
      </c>
      <c r="R105" s="775">
        <v>10</v>
      </c>
      <c r="T105" s="221">
        <f t="shared" si="209"/>
        <v>10</v>
      </c>
      <c r="U105" s="166"/>
      <c r="V105" s="167"/>
      <c r="W105" s="167"/>
      <c r="X105" s="167"/>
      <c r="Y105" s="168"/>
      <c r="Z105" s="168">
        <f>VLOOKUP(B105,'Manuell filtrering og justering'!$A$7:$H$107,'Manuell filtrering og justering'!$H$1,FALSE)</f>
        <v>10</v>
      </c>
      <c r="AA105" s="169">
        <f t="shared" si="211"/>
        <v>0</v>
      </c>
      <c r="AB105" s="170">
        <f>IF($AC$5='Manuell filtrering og justering'!$J$2,Z105,(T105-AA105))</f>
        <v>10</v>
      </c>
      <c r="AD105" s="171">
        <f t="shared" si="213"/>
        <v>7.6923076923076927E-2</v>
      </c>
      <c r="AE105" s="171">
        <f t="shared" si="224"/>
        <v>0</v>
      </c>
      <c r="AF105" s="171">
        <f t="shared" si="225"/>
        <v>0</v>
      </c>
      <c r="AG105" s="171">
        <f t="shared" si="226"/>
        <v>0</v>
      </c>
      <c r="AI105" s="1067">
        <f>IF(AI246=AD_no,0,IF(VLOOKUP(E105,'Pre-Assessment Estimator'!$E$11:$Z$228,'Pre-Assessment Estimator'!$G$2,FALSE)&gt;AB105,AB105,VLOOKUP(E105,'Pre-Assessment Estimator'!$E$11:$Z$228,'Pre-Assessment Estimator'!$G$2,FALSE)))</f>
        <v>0</v>
      </c>
      <c r="AJ105" s="1067">
        <f>IF(AJ246=AD_no,0,IF(VLOOKUP(E105,'Pre-Assessment Estimator'!$E$11:$Z$228,'Pre-Assessment Estimator'!$N$2,FALSE)&gt;AB105,AB105,VLOOKUP(E105,'Pre-Assessment Estimator'!$E$11:$Z$228,'Pre-Assessment Estimator'!$N$2,FALSE)))</f>
        <v>0</v>
      </c>
      <c r="AK105" s="1067">
        <f>IF(AK246=AD_no,0,IF(VLOOKUP(E105,'Pre-Assessment Estimator'!$E$11:$Z$228,'Pre-Assessment Estimator'!$U$2,FALSE)&gt;AB105,AB105,VLOOKUP(E105,'Pre-Assessment Estimator'!$E$11:$Z$228,'Pre-Assessment Estimator'!$U$2,FALSE)))</f>
        <v>0</v>
      </c>
      <c r="AM105" s="292"/>
      <c r="AN105" s="293"/>
      <c r="AO105" s="293"/>
      <c r="AP105" s="293"/>
      <c r="AQ105" s="294"/>
      <c r="AR105" s="139"/>
      <c r="AS105" s="292"/>
      <c r="AT105" s="293"/>
      <c r="AU105" s="293"/>
      <c r="AV105" s="293"/>
      <c r="AW105" s="294"/>
      <c r="AY105" s="188"/>
      <c r="AZ105" s="189"/>
      <c r="BA105" s="189"/>
      <c r="BB105" s="189"/>
      <c r="BC105" s="190"/>
      <c r="BD105" s="182">
        <f t="shared" si="227"/>
        <v>9</v>
      </c>
      <c r="BE105" s="164" t="str">
        <f t="shared" si="219"/>
        <v>N/A</v>
      </c>
      <c r="BF105" s="185"/>
      <c r="BG105" s="182">
        <f t="shared" si="228"/>
        <v>9</v>
      </c>
      <c r="BH105" s="164" t="str">
        <f t="shared" si="221"/>
        <v>N/A</v>
      </c>
      <c r="BI105" s="185"/>
      <c r="BJ105" s="182">
        <f t="shared" si="229"/>
        <v>9</v>
      </c>
      <c r="BK105" s="164" t="str">
        <f t="shared" si="222"/>
        <v>N/A</v>
      </c>
      <c r="BL105" s="185"/>
      <c r="BO105" s="167"/>
      <c r="BP105" s="167"/>
      <c r="BQ105" s="167" t="str">
        <f t="shared" si="157"/>
        <v/>
      </c>
      <c r="BR105" s="167">
        <f t="shared" si="198"/>
        <v>9</v>
      </c>
      <c r="BS105" s="167">
        <f t="shared" si="199"/>
        <v>9</v>
      </c>
      <c r="BT105" s="167">
        <f t="shared" si="200"/>
        <v>9</v>
      </c>
      <c r="BW105" s="167"/>
      <c r="BX105" s="167"/>
      <c r="BY105" s="167"/>
      <c r="BZ105" s="167"/>
      <c r="CA105" s="167"/>
      <c r="CB105" s="167"/>
    </row>
    <row r="106" spans="1:81" x14ac:dyDescent="0.25">
      <c r="A106" s="96">
        <v>98</v>
      </c>
      <c r="D106" s="701" t="s">
        <v>148</v>
      </c>
      <c r="E106" s="700"/>
      <c r="F106" s="934"/>
      <c r="G106" s="934"/>
      <c r="H106" s="934"/>
      <c r="I106" s="934"/>
      <c r="J106" s="934"/>
      <c r="K106" s="934"/>
      <c r="L106" s="934"/>
      <c r="M106" s="934"/>
      <c r="N106" s="934"/>
      <c r="O106" s="934"/>
      <c r="P106" s="934"/>
      <c r="Q106" s="934"/>
      <c r="R106" s="934"/>
      <c r="T106" s="956"/>
      <c r="U106" s="701"/>
      <c r="V106" s="700"/>
      <c r="W106" s="700"/>
      <c r="X106" s="700"/>
      <c r="Y106" s="955"/>
      <c r="Z106" s="955"/>
      <c r="AA106" s="956"/>
      <c r="AB106" s="957"/>
      <c r="AD106" s="171">
        <f t="shared" si="213"/>
        <v>0</v>
      </c>
      <c r="AE106" s="960"/>
      <c r="AF106" s="960"/>
      <c r="AG106" s="960"/>
      <c r="AI106" s="720"/>
      <c r="AJ106" s="720"/>
      <c r="AK106" s="720"/>
      <c r="AM106" s="292"/>
      <c r="AN106" s="293"/>
      <c r="AO106" s="293"/>
      <c r="AP106" s="293"/>
      <c r="AQ106" s="294"/>
      <c r="AR106" s="139"/>
      <c r="AS106" s="292"/>
      <c r="AT106" s="293"/>
      <c r="AU106" s="293"/>
      <c r="AV106" s="293"/>
      <c r="AW106" s="294"/>
      <c r="AY106" s="188"/>
      <c r="AZ106" s="189"/>
      <c r="BA106" s="189"/>
      <c r="BB106" s="189"/>
      <c r="BC106" s="190"/>
      <c r="BD106" s="182">
        <f t="shared" si="60"/>
        <v>9</v>
      </c>
      <c r="BE106" s="164" t="str">
        <f t="shared" si="219"/>
        <v>N/A</v>
      </c>
      <c r="BF106" s="185"/>
      <c r="BG106" s="182">
        <f t="shared" si="220"/>
        <v>9</v>
      </c>
      <c r="BH106" s="164" t="str">
        <f t="shared" si="221"/>
        <v>N/A</v>
      </c>
      <c r="BI106" s="185"/>
      <c r="BJ106" s="182">
        <f t="shared" si="28"/>
        <v>9</v>
      </c>
      <c r="BK106" s="164" t="str">
        <f t="shared" si="222"/>
        <v>N/A</v>
      </c>
      <c r="BL106" s="185"/>
      <c r="BO106" s="167"/>
      <c r="BP106" s="167"/>
      <c r="BQ106" s="167" t="str">
        <f t="shared" si="157"/>
        <v/>
      </c>
      <c r="BR106" s="167">
        <f t="shared" si="198"/>
        <v>9</v>
      </c>
      <c r="BS106" s="167">
        <f t="shared" si="199"/>
        <v>9</v>
      </c>
      <c r="BT106" s="167">
        <f t="shared" si="200"/>
        <v>9</v>
      </c>
      <c r="BW106" s="167" t="str">
        <f>D106</f>
        <v>Tra 03</v>
      </c>
      <c r="BX106" s="167" t="str">
        <f>IFERROR(VLOOKUP($E106,'Pre-Assessment Estimator'!$E$11:$AB$228,'Pre-Assessment Estimator'!AB$2,FALSE),"")</f>
        <v/>
      </c>
      <c r="BY106" s="167" t="str">
        <f>IFERROR(VLOOKUP($E106,'Pre-Assessment Estimator'!$E$11:$AI$228,'Pre-Assessment Estimator'!AI$2,FALSE),"")</f>
        <v/>
      </c>
      <c r="BZ106" s="167" t="str">
        <f t="shared" ref="BZ106:CA113" si="240">IFERROR(VLOOKUP($BX106,$E$294:$H$327,F$292,FALSE),"")</f>
        <v/>
      </c>
      <c r="CA106" s="167" t="str">
        <f t="shared" si="240"/>
        <v/>
      </c>
      <c r="CB106" s="167"/>
      <c r="CC106" s="96" t="s">
        <v>429</v>
      </c>
    </row>
    <row r="107" spans="1:81" x14ac:dyDescent="0.25">
      <c r="A107" s="96">
        <v>99</v>
      </c>
      <c r="D107" s="701" t="s">
        <v>149</v>
      </c>
      <c r="E107" s="700"/>
      <c r="F107" s="934"/>
      <c r="G107" s="934"/>
      <c r="H107" s="934"/>
      <c r="I107" s="934"/>
      <c r="J107" s="934"/>
      <c r="K107" s="934"/>
      <c r="L107" s="934"/>
      <c r="M107" s="934"/>
      <c r="N107" s="934"/>
      <c r="O107" s="934"/>
      <c r="P107" s="934"/>
      <c r="Q107" s="934"/>
      <c r="R107" s="934"/>
      <c r="T107" s="956"/>
      <c r="U107" s="701"/>
      <c r="V107" s="700"/>
      <c r="W107" s="700"/>
      <c r="X107" s="700"/>
      <c r="Y107" s="955"/>
      <c r="Z107" s="955"/>
      <c r="AA107" s="956"/>
      <c r="AB107" s="957"/>
      <c r="AD107" s="171">
        <f t="shared" si="213"/>
        <v>0</v>
      </c>
      <c r="AE107" s="960"/>
      <c r="AF107" s="960"/>
      <c r="AG107" s="960"/>
      <c r="AI107" s="720"/>
      <c r="AJ107" s="720"/>
      <c r="AK107" s="720"/>
      <c r="AM107" s="292"/>
      <c r="AN107" s="293"/>
      <c r="AO107" s="293"/>
      <c r="AP107" s="293"/>
      <c r="AQ107" s="294"/>
      <c r="AR107" s="139"/>
      <c r="AS107" s="292"/>
      <c r="AT107" s="293"/>
      <c r="AU107" s="293"/>
      <c r="AV107" s="293"/>
      <c r="AW107" s="294"/>
      <c r="AY107" s="188"/>
      <c r="AZ107" s="189"/>
      <c r="BA107" s="189"/>
      <c r="BB107" s="189"/>
      <c r="BC107" s="190"/>
      <c r="BD107" s="182">
        <f t="shared" si="60"/>
        <v>9</v>
      </c>
      <c r="BE107" s="164" t="str">
        <f t="shared" si="219"/>
        <v>N/A</v>
      </c>
      <c r="BF107" s="185"/>
      <c r="BG107" s="182">
        <f t="shared" si="220"/>
        <v>9</v>
      </c>
      <c r="BH107" s="164" t="str">
        <f t="shared" si="221"/>
        <v>N/A</v>
      </c>
      <c r="BI107" s="185"/>
      <c r="BJ107" s="182">
        <f t="shared" si="28"/>
        <v>9</v>
      </c>
      <c r="BK107" s="164" t="str">
        <f t="shared" si="222"/>
        <v>N/A</v>
      </c>
      <c r="BL107" s="185"/>
      <c r="BO107" s="167"/>
      <c r="BP107" s="167"/>
      <c r="BQ107" s="167" t="str">
        <f t="shared" si="157"/>
        <v/>
      </c>
      <c r="BR107" s="167">
        <f t="shared" si="198"/>
        <v>9</v>
      </c>
      <c r="BS107" s="167">
        <f t="shared" si="199"/>
        <v>9</v>
      </c>
      <c r="BT107" s="167">
        <f t="shared" si="200"/>
        <v>9</v>
      </c>
      <c r="BW107" s="167" t="str">
        <f>D107</f>
        <v>Tra 04</v>
      </c>
      <c r="BX107" s="167" t="str">
        <f>IFERROR(VLOOKUP($E107,'Pre-Assessment Estimator'!$E$11:$AB$228,'Pre-Assessment Estimator'!AB$2,FALSE),"")</f>
        <v/>
      </c>
      <c r="BY107" s="167" t="str">
        <f>IFERROR(VLOOKUP($E107,'Pre-Assessment Estimator'!$E$11:$AI$228,'Pre-Assessment Estimator'!AI$2,FALSE),"")</f>
        <v/>
      </c>
      <c r="BZ107" s="167" t="str">
        <f t="shared" si="240"/>
        <v/>
      </c>
      <c r="CA107" s="167" t="str">
        <f t="shared" si="240"/>
        <v/>
      </c>
      <c r="CB107" s="167"/>
      <c r="CC107" s="96" t="str">
        <f t="shared" ref="CC107:CC112" si="241">IFERROR(VLOOKUP($BX107,$E$294:$H$327,I$292,FALSE),"")</f>
        <v/>
      </c>
    </row>
    <row r="108" spans="1:81" x14ac:dyDescent="0.25">
      <c r="A108" s="96">
        <v>100</v>
      </c>
      <c r="D108" s="701" t="s">
        <v>150</v>
      </c>
      <c r="E108" s="700"/>
      <c r="F108" s="934"/>
      <c r="G108" s="934"/>
      <c r="H108" s="934"/>
      <c r="I108" s="934"/>
      <c r="J108" s="934"/>
      <c r="K108" s="934"/>
      <c r="L108" s="934"/>
      <c r="M108" s="934"/>
      <c r="N108" s="934"/>
      <c r="O108" s="934"/>
      <c r="P108" s="934"/>
      <c r="Q108" s="934"/>
      <c r="R108" s="934"/>
      <c r="T108" s="956"/>
      <c r="U108" s="701"/>
      <c r="V108" s="700"/>
      <c r="W108" s="700"/>
      <c r="X108" s="700"/>
      <c r="Y108" s="955"/>
      <c r="Z108" s="955"/>
      <c r="AA108" s="956"/>
      <c r="AB108" s="957"/>
      <c r="AD108" s="171">
        <f t="shared" si="213"/>
        <v>0</v>
      </c>
      <c r="AE108" s="960"/>
      <c r="AF108" s="960"/>
      <c r="AG108" s="960"/>
      <c r="AI108" s="720"/>
      <c r="AJ108" s="720"/>
      <c r="AK108" s="720"/>
      <c r="AM108" s="292"/>
      <c r="AN108" s="293"/>
      <c r="AO108" s="293"/>
      <c r="AP108" s="293"/>
      <c r="AQ108" s="294"/>
      <c r="AR108" s="139"/>
      <c r="AS108" s="292"/>
      <c r="AT108" s="293"/>
      <c r="AU108" s="293"/>
      <c r="AV108" s="293"/>
      <c r="AW108" s="294"/>
      <c r="AY108" s="188"/>
      <c r="AZ108" s="189"/>
      <c r="BA108" s="189"/>
      <c r="BB108" s="189"/>
      <c r="BC108" s="190"/>
      <c r="BD108" s="182">
        <f t="shared" si="60"/>
        <v>9</v>
      </c>
      <c r="BE108" s="164" t="str">
        <f t="shared" si="219"/>
        <v>N/A</v>
      </c>
      <c r="BF108" s="185"/>
      <c r="BG108" s="182">
        <f t="shared" si="220"/>
        <v>9</v>
      </c>
      <c r="BH108" s="164" t="str">
        <f t="shared" si="221"/>
        <v>N/A</v>
      </c>
      <c r="BI108" s="185"/>
      <c r="BJ108" s="182">
        <f t="shared" si="28"/>
        <v>9</v>
      </c>
      <c r="BK108" s="164" t="str">
        <f t="shared" si="222"/>
        <v>N/A</v>
      </c>
      <c r="BL108" s="185"/>
      <c r="BO108" s="167"/>
      <c r="BP108" s="167"/>
      <c r="BQ108" s="167" t="str">
        <f t="shared" si="157"/>
        <v/>
      </c>
      <c r="BR108" s="167">
        <f t="shared" si="198"/>
        <v>9</v>
      </c>
      <c r="BS108" s="167">
        <f t="shared" si="199"/>
        <v>9</v>
      </c>
      <c r="BT108" s="167">
        <f t="shared" si="200"/>
        <v>9</v>
      </c>
      <c r="BW108" s="167" t="str">
        <f>D108</f>
        <v>Tra 05</v>
      </c>
      <c r="BX108" s="167" t="str">
        <f>IFERROR(VLOOKUP($E108,'Pre-Assessment Estimator'!$E$11:$AB$228,'Pre-Assessment Estimator'!AB$2,FALSE),"")</f>
        <v/>
      </c>
      <c r="BY108" s="167" t="str">
        <f>IFERROR(VLOOKUP($E108,'Pre-Assessment Estimator'!$E$11:$AI$228,'Pre-Assessment Estimator'!AI$2,FALSE),"")</f>
        <v/>
      </c>
      <c r="BZ108" s="167" t="str">
        <f t="shared" si="240"/>
        <v/>
      </c>
      <c r="CA108" s="167" t="str">
        <f t="shared" si="240"/>
        <v/>
      </c>
      <c r="CB108" s="167"/>
      <c r="CC108" s="96" t="str">
        <f t="shared" si="241"/>
        <v/>
      </c>
    </row>
    <row r="109" spans="1:81" ht="15.75" thickBot="1" x14ac:dyDescent="0.3">
      <c r="A109" s="96">
        <v>101</v>
      </c>
      <c r="D109" s="705" t="s">
        <v>313</v>
      </c>
      <c r="E109" s="706"/>
      <c r="F109" s="937"/>
      <c r="G109" s="937"/>
      <c r="H109" s="937"/>
      <c r="I109" s="937"/>
      <c r="J109" s="937"/>
      <c r="K109" s="937"/>
      <c r="L109" s="937"/>
      <c r="M109" s="937"/>
      <c r="N109" s="937"/>
      <c r="O109" s="937"/>
      <c r="P109" s="937"/>
      <c r="Q109" s="937"/>
      <c r="R109" s="937"/>
      <c r="T109" s="956"/>
      <c r="U109" s="703"/>
      <c r="V109" s="704"/>
      <c r="W109" s="704"/>
      <c r="X109" s="700"/>
      <c r="Y109" s="955"/>
      <c r="Z109" s="955"/>
      <c r="AA109" s="956"/>
      <c r="AB109" s="957"/>
      <c r="AD109" s="171">
        <f t="shared" si="213"/>
        <v>0</v>
      </c>
      <c r="AE109" s="960"/>
      <c r="AF109" s="960"/>
      <c r="AG109" s="960"/>
      <c r="AI109" s="720"/>
      <c r="AJ109" s="720"/>
      <c r="AK109" s="720"/>
      <c r="AM109" s="295"/>
      <c r="AN109" s="296"/>
      <c r="AO109" s="296"/>
      <c r="AP109" s="296"/>
      <c r="AQ109" s="297"/>
      <c r="AR109" s="139"/>
      <c r="AS109" s="295"/>
      <c r="AT109" s="296"/>
      <c r="AU109" s="296"/>
      <c r="AV109" s="296"/>
      <c r="AW109" s="297"/>
      <c r="AY109" s="194"/>
      <c r="AZ109" s="196"/>
      <c r="BA109" s="196"/>
      <c r="BB109" s="196"/>
      <c r="BC109" s="197"/>
      <c r="BD109" s="198">
        <f t="shared" ref="BD109" si="242">IF(BC109=0,9,IF(AI109&gt;=BC109,5,IF(AI109&gt;=BB109,4,IF(AI109&gt;=BA109,3,IF(AI109&gt;=AZ109,2,IF(AI109&lt;AY109,0,1))))))</f>
        <v>9</v>
      </c>
      <c r="BE109" s="164" t="str">
        <f t="shared" si="219"/>
        <v>N/A</v>
      </c>
      <c r="BF109" s="200"/>
      <c r="BG109" s="198">
        <f t="shared" si="220"/>
        <v>9</v>
      </c>
      <c r="BH109" s="164" t="str">
        <f t="shared" si="221"/>
        <v>N/A</v>
      </c>
      <c r="BI109" s="200"/>
      <c r="BJ109" s="198">
        <f t="shared" si="28"/>
        <v>9</v>
      </c>
      <c r="BK109" s="164" t="str">
        <f t="shared" si="222"/>
        <v>N/A</v>
      </c>
      <c r="BL109" s="200"/>
      <c r="BO109" s="167"/>
      <c r="BP109" s="167"/>
      <c r="BQ109" s="167" t="str">
        <f t="shared" si="157"/>
        <v/>
      </c>
      <c r="BR109" s="167">
        <f t="shared" si="198"/>
        <v>9</v>
      </c>
      <c r="BS109" s="167">
        <f t="shared" si="199"/>
        <v>9</v>
      </c>
      <c r="BT109" s="167">
        <f t="shared" si="200"/>
        <v>9</v>
      </c>
      <c r="BW109" s="314" t="str">
        <f>D109</f>
        <v>Tra 06</v>
      </c>
      <c r="BX109" s="314" t="str">
        <f>IFERROR(VLOOKUP($E109,'Pre-Assessment Estimator'!$E$11:$AB$228,'Pre-Assessment Estimator'!AB$2,FALSE),"")</f>
        <v/>
      </c>
      <c r="BY109" s="314" t="str">
        <f>IFERROR(VLOOKUP($E109,'Pre-Assessment Estimator'!$E$11:$AI$228,'Pre-Assessment Estimator'!AI$2,FALSE),"")</f>
        <v/>
      </c>
      <c r="BZ109" s="314" t="str">
        <f t="shared" si="240"/>
        <v/>
      </c>
      <c r="CA109" s="314" t="str">
        <f t="shared" si="240"/>
        <v/>
      </c>
      <c r="CB109" s="314"/>
      <c r="CC109" s="96" t="str">
        <f t="shared" si="241"/>
        <v/>
      </c>
    </row>
    <row r="110" spans="1:81" ht="15.75" thickBot="1" x14ac:dyDescent="0.3">
      <c r="A110" s="96">
        <v>102</v>
      </c>
      <c r="B110" s="96" t="s">
        <v>884</v>
      </c>
      <c r="D110" s="201"/>
      <c r="E110" s="202" t="s">
        <v>213</v>
      </c>
      <c r="F110" s="773">
        <f>F100+F103</f>
        <v>13</v>
      </c>
      <c r="G110" s="773">
        <f t="shared" ref="G110:R110" si="243">G100+G103</f>
        <v>13</v>
      </c>
      <c r="H110" s="773">
        <f t="shared" si="243"/>
        <v>13</v>
      </c>
      <c r="I110" s="773">
        <f t="shared" si="243"/>
        <v>13</v>
      </c>
      <c r="J110" s="773">
        <f t="shared" si="243"/>
        <v>13</v>
      </c>
      <c r="K110" s="773">
        <f t="shared" si="243"/>
        <v>13</v>
      </c>
      <c r="L110" s="773">
        <f t="shared" si="243"/>
        <v>13</v>
      </c>
      <c r="M110" s="773">
        <f t="shared" si="243"/>
        <v>13</v>
      </c>
      <c r="N110" s="773">
        <f t="shared" si="243"/>
        <v>13</v>
      </c>
      <c r="O110" s="773">
        <f t="shared" si="243"/>
        <v>13</v>
      </c>
      <c r="P110" s="773">
        <f t="shared" si="243"/>
        <v>13</v>
      </c>
      <c r="Q110" s="773">
        <f t="shared" ref="Q110" si="244">Q100+Q103</f>
        <v>13</v>
      </c>
      <c r="R110" s="773">
        <f t="shared" si="243"/>
        <v>13</v>
      </c>
      <c r="T110" s="226">
        <f>HLOOKUP($E$6,$F$9:$R$231,$A110,FALSE)</f>
        <v>13</v>
      </c>
      <c r="U110" s="204"/>
      <c r="V110" s="205"/>
      <c r="W110" s="205"/>
      <c r="X110" s="205"/>
      <c r="Y110" s="206"/>
      <c r="Z110" s="206"/>
      <c r="AA110" s="773">
        <f t="shared" ref="AA110:AG110" si="245">AA100+AA103</f>
        <v>0</v>
      </c>
      <c r="AB110" s="773">
        <f t="shared" si="245"/>
        <v>13</v>
      </c>
      <c r="AD110" s="208">
        <f t="shared" si="245"/>
        <v>0.1</v>
      </c>
      <c r="AE110" s="208">
        <f t="shared" si="245"/>
        <v>0</v>
      </c>
      <c r="AF110" s="208">
        <f t="shared" si="245"/>
        <v>0</v>
      </c>
      <c r="AG110" s="208">
        <f t="shared" si="245"/>
        <v>0</v>
      </c>
      <c r="AI110" s="78">
        <f t="shared" ref="AI110:AK110" si="246">AI100+AI103</f>
        <v>0</v>
      </c>
      <c r="AJ110" s="78">
        <f t="shared" si="246"/>
        <v>0</v>
      </c>
      <c r="AK110" s="78">
        <f t="shared" si="246"/>
        <v>0</v>
      </c>
      <c r="AM110" s="139"/>
      <c r="AN110" s="139"/>
      <c r="AO110" s="139"/>
      <c r="AP110" s="139"/>
      <c r="AQ110" s="139"/>
      <c r="AR110" s="139"/>
      <c r="AS110" s="139"/>
      <c r="AT110" s="139"/>
      <c r="AU110" s="139"/>
      <c r="AV110" s="139"/>
      <c r="AW110" s="139"/>
      <c r="AY110" s="97"/>
      <c r="AZ110" s="209"/>
      <c r="BA110" s="97"/>
      <c r="BB110" s="97"/>
      <c r="BC110" s="97"/>
      <c r="BW110" s="202"/>
      <c r="BX110" s="202" t="str">
        <f>IFERROR(VLOOKUP($E110,'Pre-Assessment Estimator'!$E$11:$AB$228,'Pre-Assessment Estimator'!AB$2,FALSE),"")</f>
        <v/>
      </c>
      <c r="BY110" s="202" t="str">
        <f>IFERROR(VLOOKUP($E110,'Pre-Assessment Estimator'!$E$11:$AI$228,'Pre-Assessment Estimator'!AI$2,FALSE),"")</f>
        <v/>
      </c>
      <c r="BZ110" s="202" t="str">
        <f t="shared" si="240"/>
        <v/>
      </c>
      <c r="CA110" s="202" t="str">
        <f t="shared" si="240"/>
        <v/>
      </c>
      <c r="CB110" s="202"/>
      <c r="CC110" s="96" t="str">
        <f t="shared" si="241"/>
        <v/>
      </c>
    </row>
    <row r="111" spans="1:81" ht="15.75" thickBot="1" x14ac:dyDescent="0.3">
      <c r="A111" s="96">
        <v>103</v>
      </c>
      <c r="AI111" s="3"/>
      <c r="AJ111" s="3"/>
      <c r="AK111" s="3"/>
      <c r="AM111" s="139"/>
      <c r="AN111" s="139"/>
      <c r="AO111" s="139"/>
      <c r="AP111" s="139"/>
      <c r="AQ111" s="139"/>
      <c r="AR111" s="139"/>
      <c r="AS111" s="139"/>
      <c r="AT111" s="139"/>
      <c r="AU111" s="139"/>
      <c r="AV111" s="139"/>
      <c r="AW111" s="139"/>
      <c r="AY111" s="97"/>
      <c r="AZ111" s="97"/>
      <c r="BA111" s="97"/>
      <c r="BB111" s="97"/>
      <c r="BC111" s="97"/>
      <c r="BX111" s="96" t="str">
        <f>IFERROR(VLOOKUP($E111,'Pre-Assessment Estimator'!$E$11:$AB$228,'Pre-Assessment Estimator'!AB$2,FALSE),"")</f>
        <v/>
      </c>
      <c r="BY111" s="96" t="str">
        <f>IFERROR(VLOOKUP($E111,'Pre-Assessment Estimator'!$E$11:$AI$228,'Pre-Assessment Estimator'!AI$2,FALSE),"")</f>
        <v/>
      </c>
      <c r="BZ111" s="96" t="str">
        <f t="shared" si="240"/>
        <v/>
      </c>
      <c r="CA111" s="96" t="str">
        <f t="shared" si="240"/>
        <v/>
      </c>
      <c r="CC111" s="96" t="str">
        <f t="shared" si="241"/>
        <v/>
      </c>
    </row>
    <row r="112" spans="1:81" ht="60.75" thickBot="1" x14ac:dyDescent="0.3">
      <c r="A112" s="96">
        <v>104</v>
      </c>
      <c r="D112" s="145"/>
      <c r="E112" s="146" t="s">
        <v>58</v>
      </c>
      <c r="F112" s="1241" t="str">
        <f>$F$9</f>
        <v>Office</v>
      </c>
      <c r="G112" s="1241" t="str">
        <f>$G$9</f>
        <v>Retail</v>
      </c>
      <c r="H112" s="1245" t="str">
        <f>$H$9</f>
        <v>Residential</v>
      </c>
      <c r="I112" s="1241" t="str">
        <f>$I$9</f>
        <v>Industrial</v>
      </c>
      <c r="J112" s="1243" t="str">
        <f>$J$9</f>
        <v>Healthcare</v>
      </c>
      <c r="K112" s="1243" t="str">
        <f>$K$9</f>
        <v>Prison</v>
      </c>
      <c r="L112" s="1243" t="str">
        <f>$L$9</f>
        <v>Law Court</v>
      </c>
      <c r="M112" s="1247" t="str">
        <f>$M$9</f>
        <v>Residential institution (long term stay)</v>
      </c>
      <c r="N112" s="918" t="str">
        <f>$N$9</f>
        <v>Residential institution (short term stay)</v>
      </c>
      <c r="O112" s="918" t="str">
        <f>$O$9</f>
        <v>Non-residential institution</v>
      </c>
      <c r="P112" s="918" t="str">
        <f>$P$9</f>
        <v>Assembly and leisure</v>
      </c>
      <c r="Q112" s="1243" t="str">
        <f>$Q$9</f>
        <v>Education</v>
      </c>
      <c r="R112" s="857" t="str">
        <f>$R$9</f>
        <v>Other</v>
      </c>
      <c r="T112" s="138" t="str">
        <f>$E$6</f>
        <v>Office</v>
      </c>
      <c r="U112" s="210"/>
      <c r="V112" s="211"/>
      <c r="W112" s="211"/>
      <c r="X112" s="211"/>
      <c r="Y112" s="1165" t="s">
        <v>411</v>
      </c>
      <c r="Z112" s="347" t="s">
        <v>334</v>
      </c>
      <c r="AA112" s="150" t="s">
        <v>213</v>
      </c>
      <c r="AB112" s="59" t="s">
        <v>15</v>
      </c>
      <c r="AI112" s="42"/>
      <c r="AJ112" s="60"/>
      <c r="AK112" s="60"/>
      <c r="AM112" s="139"/>
      <c r="AN112" s="139"/>
      <c r="AO112" s="139"/>
      <c r="AP112" s="139"/>
      <c r="AQ112" s="139"/>
      <c r="AR112" s="139"/>
      <c r="AS112" s="139"/>
      <c r="AT112" s="139"/>
      <c r="AU112" s="139"/>
      <c r="AV112" s="139"/>
      <c r="AW112" s="139"/>
      <c r="AY112" s="97"/>
      <c r="AZ112" s="97"/>
      <c r="BA112" s="97"/>
      <c r="BB112" s="97"/>
      <c r="BC112" s="97"/>
      <c r="BO112" s="60"/>
      <c r="BP112" s="60"/>
      <c r="BQ112" s="60"/>
      <c r="BR112" s="60"/>
      <c r="BS112" s="60"/>
      <c r="BT112" s="60"/>
      <c r="BW112" s="146"/>
      <c r="BX112" s="146" t="str">
        <f>E112</f>
        <v>Water</v>
      </c>
      <c r="BY112" s="146">
        <f>IFERROR(VLOOKUP($E112,'Pre-Assessment Estimator'!$E$11:$AI$228,'Pre-Assessment Estimator'!AI$2,FALSE),"")</f>
        <v>0</v>
      </c>
      <c r="BZ112" s="146" t="str">
        <f t="shared" si="240"/>
        <v/>
      </c>
      <c r="CA112" s="146" t="str">
        <f t="shared" si="240"/>
        <v/>
      </c>
      <c r="CB112" s="146"/>
      <c r="CC112" s="96" t="str">
        <f t="shared" si="241"/>
        <v/>
      </c>
    </row>
    <row r="113" spans="1:85" x14ac:dyDescent="0.25">
      <c r="A113" s="96">
        <v>105</v>
      </c>
      <c r="B113" s="137" t="str">
        <f>D113</f>
        <v>Wat 01</v>
      </c>
      <c r="C113" s="137" t="str">
        <f>B113</f>
        <v>Wat 01</v>
      </c>
      <c r="D113" s="833" t="s">
        <v>168</v>
      </c>
      <c r="E113" s="831" t="s">
        <v>151</v>
      </c>
      <c r="F113" s="933">
        <f>SUM(F114)</f>
        <v>5</v>
      </c>
      <c r="G113" s="933">
        <f t="shared" ref="G113:R113" si="247">SUM(G114)</f>
        <v>5</v>
      </c>
      <c r="H113" s="933">
        <f t="shared" si="247"/>
        <v>5</v>
      </c>
      <c r="I113" s="933">
        <f t="shared" si="247"/>
        <v>5</v>
      </c>
      <c r="J113" s="933">
        <f t="shared" si="247"/>
        <v>5</v>
      </c>
      <c r="K113" s="933">
        <f t="shared" si="247"/>
        <v>5</v>
      </c>
      <c r="L113" s="933">
        <f t="shared" si="247"/>
        <v>5</v>
      </c>
      <c r="M113" s="933">
        <f t="shared" si="247"/>
        <v>5</v>
      </c>
      <c r="N113" s="933">
        <f t="shared" si="247"/>
        <v>5</v>
      </c>
      <c r="O113" s="933">
        <f t="shared" si="247"/>
        <v>5</v>
      </c>
      <c r="P113" s="933">
        <f t="shared" si="247"/>
        <v>5</v>
      </c>
      <c r="Q113" s="933">
        <f t="shared" si="247"/>
        <v>5</v>
      </c>
      <c r="R113" s="933">
        <f t="shared" si="247"/>
        <v>5</v>
      </c>
      <c r="S113" s="97"/>
      <c r="T113" s="961">
        <f t="shared" ref="T113:T123" si="248">HLOOKUP($E$6,$F$9:$R$231,$A113,FALSE)</f>
        <v>5</v>
      </c>
      <c r="U113" s="222"/>
      <c r="V113" s="230"/>
      <c r="W113" s="230"/>
      <c r="X113" s="230">
        <f>'Manuell filtrering og justering'!E52</f>
        <v>0</v>
      </c>
      <c r="Y113" s="230"/>
      <c r="Z113" s="958">
        <f t="shared" ref="Z113" si="249">SUM(Z114)</f>
        <v>5</v>
      </c>
      <c r="AA113" s="963">
        <f t="shared" ref="AA113:AA122" si="250">IF(SUM(U113:Y113)&gt;T113,T113,SUM(U113:Y113))</f>
        <v>0</v>
      </c>
      <c r="AB113" s="920">
        <f>AB114</f>
        <v>5</v>
      </c>
      <c r="AD113" s="171">
        <f t="shared" ref="AD113:AD122" si="251">(Wat_Weight/Wat__Credits)*AB113</f>
        <v>2.2222222222222223E-2</v>
      </c>
      <c r="AE113" s="921">
        <f>SUM(AE114)</f>
        <v>0</v>
      </c>
      <c r="AF113" s="921">
        <f t="shared" ref="AF113:AG113" si="252">SUM(AF114)</f>
        <v>0</v>
      </c>
      <c r="AG113" s="921">
        <f t="shared" si="252"/>
        <v>0</v>
      </c>
      <c r="AI113" s="958">
        <f t="shared" ref="AI113" si="253">SUM(AI114)</f>
        <v>0</v>
      </c>
      <c r="AJ113" s="958">
        <f t="shared" ref="AJ113" si="254">SUM(AJ114)</f>
        <v>0</v>
      </c>
      <c r="AK113" s="958">
        <f t="shared" ref="AK113" si="255">SUM(AK114)</f>
        <v>0</v>
      </c>
      <c r="AM113" s="298"/>
      <c r="AN113" s="299"/>
      <c r="AO113" s="308"/>
      <c r="AP113" s="299"/>
      <c r="AQ113" s="300"/>
      <c r="AR113" s="139"/>
      <c r="AS113" s="298"/>
      <c r="AT113" s="299"/>
      <c r="AU113" s="299"/>
      <c r="AV113" s="299"/>
      <c r="AW113" s="300"/>
      <c r="AY113" s="218"/>
      <c r="AZ113" s="219"/>
      <c r="BA113" s="219"/>
      <c r="BB113" s="219"/>
      <c r="BC113" s="220"/>
      <c r="BD113" s="174">
        <f t="shared" si="60"/>
        <v>9</v>
      </c>
      <c r="BE113" s="164" t="str">
        <f t="shared" ref="BE113:BE122" si="256">VLOOKUP(BD113,$BO$285:$BT$291,6,FALSE)</f>
        <v>N/A</v>
      </c>
      <c r="BF113" s="178"/>
      <c r="BG113" s="174">
        <f>IF(BC113=0,9,IF(AJ113&gt;=BC113,5,IF(AJ113&gt;=BB113,4,IF(AJ113&gt;=BA113,3,IF(AJ113&gt;=AZ113,2,IF(AJ113&lt;AY113,0,1))))))</f>
        <v>9</v>
      </c>
      <c r="BH113" s="164" t="str">
        <f t="shared" ref="BH113:BH122" si="257">VLOOKUP(BG113,$BO$285:$BT$291,6,FALSE)</f>
        <v>N/A</v>
      </c>
      <c r="BI113" s="178"/>
      <c r="BJ113" s="174">
        <f t="shared" si="28"/>
        <v>9</v>
      </c>
      <c r="BK113" s="164" t="str">
        <f t="shared" ref="BK113:BK122" si="258">VLOOKUP(BJ113,$BO$285:$BT$291,6,FALSE)</f>
        <v>N/A</v>
      </c>
      <c r="BL113" s="178"/>
      <c r="BO113" s="167"/>
      <c r="BP113" s="167"/>
      <c r="BQ113" s="167" t="str">
        <f t="shared" si="157"/>
        <v/>
      </c>
      <c r="BR113" s="167">
        <f t="shared" si="198"/>
        <v>9</v>
      </c>
      <c r="BS113" s="167">
        <f t="shared" si="199"/>
        <v>9</v>
      </c>
      <c r="BT113" s="167">
        <f t="shared" si="200"/>
        <v>9</v>
      </c>
      <c r="BW113" s="164" t="str">
        <f>D113</f>
        <v>Wat 01</v>
      </c>
      <c r="BX113" s="164" t="str">
        <f>IFERROR(VLOOKUP($E113,'Pre-Assessment Estimator'!$E$11:$AB$228,'Pre-Assessment Estimator'!AB$2,FALSE),"")</f>
        <v>No</v>
      </c>
      <c r="BY113" s="164">
        <f>IFERROR(VLOOKUP($E113,'Pre-Assessment Estimator'!$E$11:$AI$228,'Pre-Assessment Estimator'!AI$2,FALSE),"")</f>
        <v>0</v>
      </c>
      <c r="BZ113" s="164">
        <f t="shared" si="240"/>
        <v>1</v>
      </c>
      <c r="CA113" s="164">
        <f t="shared" si="240"/>
        <v>0</v>
      </c>
      <c r="CB113" s="164"/>
      <c r="CC113" s="96" t="s">
        <v>429</v>
      </c>
    </row>
    <row r="114" spans="1:85" x14ac:dyDescent="0.25">
      <c r="A114" s="96">
        <v>106</v>
      </c>
      <c r="B114" s="96" t="str">
        <f t="shared" ref="B114" si="259">$D$113&amp;D114</f>
        <v>Wat 01a</v>
      </c>
      <c r="C114" s="96" t="str">
        <f t="shared" si="159"/>
        <v>Wat 01</v>
      </c>
      <c r="D114" s="163" t="s">
        <v>692</v>
      </c>
      <c r="E114" s="1123" t="s">
        <v>640</v>
      </c>
      <c r="F114" s="939">
        <v>5</v>
      </c>
      <c r="G114" s="939">
        <v>5</v>
      </c>
      <c r="H114" s="939">
        <v>5</v>
      </c>
      <c r="I114" s="939">
        <v>5</v>
      </c>
      <c r="J114" s="939">
        <v>5</v>
      </c>
      <c r="K114" s="939">
        <v>5</v>
      </c>
      <c r="L114" s="939">
        <v>5</v>
      </c>
      <c r="M114" s="939">
        <v>5</v>
      </c>
      <c r="N114" s="939">
        <v>5</v>
      </c>
      <c r="O114" s="939">
        <v>5</v>
      </c>
      <c r="P114" s="939">
        <v>5</v>
      </c>
      <c r="Q114" s="939">
        <v>5</v>
      </c>
      <c r="R114" s="939">
        <v>5</v>
      </c>
      <c r="S114" s="97"/>
      <c r="T114" s="221">
        <f t="shared" si="248"/>
        <v>5</v>
      </c>
      <c r="U114" s="166"/>
      <c r="V114" s="167"/>
      <c r="W114" s="167"/>
      <c r="X114" s="167"/>
      <c r="Y114" s="169">
        <f>IF($Y$4=$Y$6,T114,0)</f>
        <v>0</v>
      </c>
      <c r="Z114" s="168">
        <f>VLOOKUP(B114,'Manuell filtrering og justering'!$A$7:$H$253,'Manuell filtrering og justering'!$H$1,FALSE)</f>
        <v>5</v>
      </c>
      <c r="AA114" s="169">
        <f t="shared" si="250"/>
        <v>0</v>
      </c>
      <c r="AB114" s="170">
        <f>IF($AC$5='Manuell filtrering og justering'!$J$2,Z114,(T114-AA114))</f>
        <v>5</v>
      </c>
      <c r="AD114" s="171">
        <f t="shared" si="251"/>
        <v>2.2222222222222223E-2</v>
      </c>
      <c r="AE114" s="171">
        <f t="shared" ref="AE114:AE122" si="260">IF(AB114=0,0,(AD114/AB114)*AI114)</f>
        <v>0</v>
      </c>
      <c r="AF114" s="171">
        <f t="shared" ref="AF114:AF122" si="261">IF(AB114=0,0,(AD114/AB114)*AJ114)</f>
        <v>0</v>
      </c>
      <c r="AG114" s="171">
        <f t="shared" ref="AG114:AG122" si="262">IF(AB114=0,0,(AD114/AB114)*AK114)</f>
        <v>0</v>
      </c>
      <c r="AI114" s="172">
        <f>IF(VLOOKUP(E114,'Pre-Assessment Estimator'!$E$11:$Z$228,'Pre-Assessment Estimator'!$G$2,FALSE)&gt;AB114,AB114,VLOOKUP(E114,'Pre-Assessment Estimator'!$E$11:$Z$228,'Pre-Assessment Estimator'!$G$2,FALSE))</f>
        <v>0</v>
      </c>
      <c r="AJ114" s="172">
        <f>IF(VLOOKUP(E114,'Pre-Assessment Estimator'!$E$11:$Z$228,'Pre-Assessment Estimator'!$N$2,FALSE)&gt;AB114,AB114,VLOOKUP(E114,'Pre-Assessment Estimator'!$E$11:$Z$228,'Pre-Assessment Estimator'!$N$2,FALSE))</f>
        <v>0</v>
      </c>
      <c r="AK114" s="172">
        <f>IF(VLOOKUP(E114,'Pre-Assessment Estimator'!$E$11:$Z$228,'Pre-Assessment Estimator'!$U$2,FALSE)&gt;AB114,AB114,VLOOKUP(E114,'Pre-Assessment Estimator'!$E$11:$Z$228,'Pre-Assessment Estimator'!$U$2,FALSE))</f>
        <v>0</v>
      </c>
      <c r="AM114" s="835"/>
      <c r="AN114" s="836"/>
      <c r="AO114" s="849"/>
      <c r="AP114" s="1189">
        <f>IF(AND($Y$4&lt;&gt;$Y$3,Y114&gt;0),0,2)</f>
        <v>2</v>
      </c>
      <c r="AQ114" s="1191">
        <f>IF(AND($Y$4&lt;&gt;$Y$3,Y114&gt;0),0,2)</f>
        <v>2</v>
      </c>
      <c r="AR114" s="139"/>
      <c r="AS114" s="835"/>
      <c r="AT114" s="836"/>
      <c r="AU114" s="836"/>
      <c r="AV114" s="836">
        <v>2</v>
      </c>
      <c r="AW114" s="837">
        <v>2</v>
      </c>
      <c r="AY114" s="708"/>
      <c r="AZ114" s="709"/>
      <c r="BA114" s="709"/>
      <c r="BB114" s="183">
        <f>IF($AB114=0,0,IF($E$6=$H$9,AV114,AP114))</f>
        <v>2</v>
      </c>
      <c r="BC114" s="183">
        <f>IF($AB114=0,0,IF($E$6=$H$9,AW114,AQ114))</f>
        <v>2</v>
      </c>
      <c r="BD114" s="182">
        <f t="shared" ref="BD114" si="263">IF(BC114=0,9,IF(AI114&gt;=BC114,5,IF(AI114&gt;=BB114,4,IF(AI114&gt;=BA114,3,IF(AI114&gt;=AZ114,2,IF(AI114&lt;AY114,0,1))))))</f>
        <v>3</v>
      </c>
      <c r="BE114" s="164" t="str">
        <f t="shared" si="256"/>
        <v>Very Good</v>
      </c>
      <c r="BF114" s="185"/>
      <c r="BG114" s="182">
        <f>IF(BC114=0,9,IF(AJ114&gt;=BC114,5,IF(AJ114&gt;=BB114,4,IF(AJ114&gt;=BA114,3,IF(AJ114&gt;=AZ114,2,IF(AJ114&lt;AY114,0,1))))))</f>
        <v>3</v>
      </c>
      <c r="BH114" s="164" t="str">
        <f t="shared" si="257"/>
        <v>Very Good</v>
      </c>
      <c r="BI114" s="185"/>
      <c r="BJ114" s="182">
        <f t="shared" ref="BJ114" si="264">IF(BC114=0,9,IF(AK114&gt;=BC114,5,IF(AK114&gt;=BB114,4,IF(AK114&gt;=BA114,3,IF(AK114&gt;=AZ114,2,IF(AK114&lt;AY114,0,1))))))</f>
        <v>3</v>
      </c>
      <c r="BK114" s="164" t="str">
        <f t="shared" si="258"/>
        <v>Very Good</v>
      </c>
      <c r="BL114" s="830"/>
      <c r="BO114" s="167"/>
      <c r="BP114" s="1181">
        <f>2*0</f>
        <v>0</v>
      </c>
      <c r="BQ114" s="167">
        <f t="shared" si="157"/>
        <v>0</v>
      </c>
      <c r="BR114" s="167">
        <f t="shared" si="198"/>
        <v>5</v>
      </c>
      <c r="BS114" s="167">
        <f t="shared" si="199"/>
        <v>5</v>
      </c>
      <c r="BT114" s="167">
        <f t="shared" si="200"/>
        <v>5</v>
      </c>
      <c r="BW114" s="164"/>
      <c r="BX114" s="164"/>
      <c r="BY114" s="164"/>
      <c r="BZ114" s="164"/>
      <c r="CA114" s="99"/>
      <c r="CB114" s="164"/>
    </row>
    <row r="115" spans="1:85" x14ac:dyDescent="0.25">
      <c r="A115" s="96">
        <v>107</v>
      </c>
      <c r="B115" s="137" t="str">
        <f>D115</f>
        <v>Wat 02</v>
      </c>
      <c r="C115" s="137" t="str">
        <f>B115</f>
        <v>Wat 02</v>
      </c>
      <c r="D115" s="834" t="s">
        <v>169</v>
      </c>
      <c r="E115" s="832" t="s">
        <v>152</v>
      </c>
      <c r="F115" s="933">
        <f>SUM(F116)</f>
        <v>1</v>
      </c>
      <c r="G115" s="933">
        <f t="shared" ref="G115:R115" si="265">SUM(G116)</f>
        <v>1</v>
      </c>
      <c r="H115" s="933">
        <f t="shared" si="265"/>
        <v>1</v>
      </c>
      <c r="I115" s="933">
        <f t="shared" si="265"/>
        <v>1</v>
      </c>
      <c r="J115" s="933">
        <f t="shared" si="265"/>
        <v>1</v>
      </c>
      <c r="K115" s="933">
        <f t="shared" si="265"/>
        <v>1</v>
      </c>
      <c r="L115" s="933">
        <f t="shared" si="265"/>
        <v>1</v>
      </c>
      <c r="M115" s="933">
        <f t="shared" si="265"/>
        <v>1</v>
      </c>
      <c r="N115" s="933">
        <f t="shared" si="265"/>
        <v>1</v>
      </c>
      <c r="O115" s="933">
        <f t="shared" si="265"/>
        <v>1</v>
      </c>
      <c r="P115" s="933">
        <f t="shared" si="265"/>
        <v>1</v>
      </c>
      <c r="Q115" s="933">
        <f t="shared" si="265"/>
        <v>1</v>
      </c>
      <c r="R115" s="933">
        <f t="shared" si="265"/>
        <v>1</v>
      </c>
      <c r="T115" s="963">
        <f t="shared" si="248"/>
        <v>1</v>
      </c>
      <c r="U115" s="222"/>
      <c r="V115" s="230"/>
      <c r="W115" s="230"/>
      <c r="X115" s="230">
        <f>'Manuell filtrering og justering'!E53</f>
        <v>0</v>
      </c>
      <c r="Y115" s="230"/>
      <c r="Z115" s="958">
        <f t="shared" ref="Z115" si="266">SUM(Z116)</f>
        <v>1</v>
      </c>
      <c r="AA115" s="963">
        <f t="shared" si="250"/>
        <v>0</v>
      </c>
      <c r="AB115" s="920">
        <f>AB116</f>
        <v>1</v>
      </c>
      <c r="AD115" s="171">
        <f t="shared" si="251"/>
        <v>4.4444444444444444E-3</v>
      </c>
      <c r="AE115" s="921">
        <f>SUM(AE116)</f>
        <v>0</v>
      </c>
      <c r="AF115" s="921">
        <f t="shared" ref="AF115:AG115" si="267">SUM(AF116)</f>
        <v>0</v>
      </c>
      <c r="AG115" s="921">
        <f t="shared" si="267"/>
        <v>0</v>
      </c>
      <c r="AI115" s="958">
        <f t="shared" ref="AI115" si="268">SUM(AI116)</f>
        <v>0</v>
      </c>
      <c r="AJ115" s="958">
        <f t="shared" ref="AJ115" si="269">SUM(AJ116)</f>
        <v>0</v>
      </c>
      <c r="AK115" s="958">
        <f t="shared" ref="AK115" si="270">SUM(AK116)</f>
        <v>0</v>
      </c>
      <c r="AL115" s="96" t="s">
        <v>425</v>
      </c>
      <c r="AM115" s="292"/>
      <c r="AN115" s="293"/>
      <c r="AO115" s="293"/>
      <c r="AP115" s="293"/>
      <c r="AQ115" s="294"/>
      <c r="AR115" s="139"/>
      <c r="AS115" s="292"/>
      <c r="AT115" s="293"/>
      <c r="AU115" s="293"/>
      <c r="AV115" s="293"/>
      <c r="AW115" s="294"/>
      <c r="AY115" s="188"/>
      <c r="AZ115" s="189"/>
      <c r="BA115" s="189"/>
      <c r="BB115" s="189"/>
      <c r="BC115" s="190"/>
      <c r="BD115" s="182">
        <f t="shared" si="60"/>
        <v>9</v>
      </c>
      <c r="BE115" s="164" t="str">
        <f t="shared" si="256"/>
        <v>N/A</v>
      </c>
      <c r="BF115" s="185"/>
      <c r="BG115" s="182">
        <f>IF(BC115=0,9,IF(AJ115&gt;=BC115,5,IF(AJ115&gt;=BB115,4,IF(AJ115&gt;=BA115,3,IF(AJ115&gt;=AZ115,2,IF(AJ115&lt;AY115,0,1))))))</f>
        <v>9</v>
      </c>
      <c r="BH115" s="164" t="str">
        <f t="shared" si="257"/>
        <v>N/A</v>
      </c>
      <c r="BI115" s="185"/>
      <c r="BJ115" s="182">
        <f t="shared" si="28"/>
        <v>9</v>
      </c>
      <c r="BK115" s="164" t="str">
        <f t="shared" si="258"/>
        <v>N/A</v>
      </c>
      <c r="BL115" s="185"/>
      <c r="BO115" s="167"/>
      <c r="BP115" s="167"/>
      <c r="BQ115" s="167" t="str">
        <f t="shared" si="157"/>
        <v/>
      </c>
      <c r="BR115" s="167">
        <f t="shared" si="198"/>
        <v>9</v>
      </c>
      <c r="BS115" s="167">
        <f t="shared" si="199"/>
        <v>9</v>
      </c>
      <c r="BT115" s="167">
        <f t="shared" si="200"/>
        <v>9</v>
      </c>
      <c r="BW115" s="167" t="str">
        <f>D115</f>
        <v>Wat 02</v>
      </c>
      <c r="BX115" s="167" t="str">
        <f>IFERROR(VLOOKUP($E115,'Pre-Assessment Estimator'!$E$11:$AB$228,'Pre-Assessment Estimator'!AB$2,FALSE),"")</f>
        <v>No</v>
      </c>
      <c r="BY115" s="230" t="str">
        <f>IFERROR(VLOOKUP($E115,'Pre-Assessment Estimator'!$E$11:$AI$228,'Pre-Assessment Estimator'!AI$2,FALSE),"")</f>
        <v>Ja</v>
      </c>
      <c r="BZ115" s="167">
        <f>IFERROR(VLOOKUP($BX115,$E$294:$H$327,F$292,FALSE),"")</f>
        <v>1</v>
      </c>
      <c r="CA115" s="680" t="s">
        <v>430</v>
      </c>
      <c r="CB115" s="167"/>
      <c r="CC115" s="96" t="str">
        <f>IFERROR(VLOOKUP($BX115,$E$294:$H$327,I$292,FALSE),"")</f>
        <v/>
      </c>
      <c r="CD115" s="96" t="s">
        <v>436</v>
      </c>
      <c r="CE115" s="167">
        <f>VLOOKUP(CA115,$CA$4:$CB$5,2,FALSE)</f>
        <v>1</v>
      </c>
      <c r="CG115" s="681">
        <f>IF($BX$5=ais_nei,CE115,IF(AND(CA115=$CA$4,BX115=$CC$4),0,BZ115))</f>
        <v>1</v>
      </c>
    </row>
    <row r="116" spans="1:85" x14ac:dyDescent="0.25">
      <c r="A116" s="96">
        <v>108</v>
      </c>
      <c r="B116" s="96" t="str">
        <f t="shared" ref="B116" si="271">$D$115&amp;D116</f>
        <v>Wat 02a</v>
      </c>
      <c r="C116" s="96" t="str">
        <f t="shared" si="159"/>
        <v>Wat 02</v>
      </c>
      <c r="D116" s="166" t="s">
        <v>692</v>
      </c>
      <c r="E116" s="1123" t="s">
        <v>641</v>
      </c>
      <c r="F116" s="775">
        <v>1</v>
      </c>
      <c r="G116" s="775">
        <v>1</v>
      </c>
      <c r="H116" s="775">
        <v>1</v>
      </c>
      <c r="I116" s="775">
        <v>1</v>
      </c>
      <c r="J116" s="775">
        <v>1</v>
      </c>
      <c r="K116" s="775">
        <v>1</v>
      </c>
      <c r="L116" s="775">
        <v>1</v>
      </c>
      <c r="M116" s="775">
        <v>1</v>
      </c>
      <c r="N116" s="775">
        <v>1</v>
      </c>
      <c r="O116" s="775">
        <v>1</v>
      </c>
      <c r="P116" s="775">
        <v>1</v>
      </c>
      <c r="Q116" s="775">
        <v>1</v>
      </c>
      <c r="R116" s="775">
        <v>1</v>
      </c>
      <c r="T116" s="221">
        <f t="shared" si="248"/>
        <v>1</v>
      </c>
      <c r="U116" s="166"/>
      <c r="V116" s="167"/>
      <c r="W116" s="167"/>
      <c r="X116" s="167"/>
      <c r="Y116" s="168"/>
      <c r="Z116" s="168">
        <f>VLOOKUP(B116,'Manuell filtrering og justering'!$A$7:$H$253,'Manuell filtrering og justering'!$H$1,FALSE)</f>
        <v>1</v>
      </c>
      <c r="AA116" s="169">
        <f t="shared" si="250"/>
        <v>0</v>
      </c>
      <c r="AB116" s="170">
        <f>IF($AC$5='Manuell filtrering og justering'!$J$2,Z116,(T116-AA116))</f>
        <v>1</v>
      </c>
      <c r="AD116" s="171">
        <f t="shared" si="251"/>
        <v>4.4444444444444444E-3</v>
      </c>
      <c r="AE116" s="171">
        <f t="shared" si="260"/>
        <v>0</v>
      </c>
      <c r="AF116" s="171">
        <f t="shared" si="261"/>
        <v>0</v>
      </c>
      <c r="AG116" s="171">
        <f t="shared" si="262"/>
        <v>0</v>
      </c>
      <c r="AI116" s="172">
        <f>IF(VLOOKUP(E116,'Pre-Assessment Estimator'!$E$11:$Z$228,'Pre-Assessment Estimator'!$G$2,FALSE)&gt;AB116,AB116,VLOOKUP(E116,'Pre-Assessment Estimator'!$E$11:$Z$228,'Pre-Assessment Estimator'!$G$2,FALSE))</f>
        <v>0</v>
      </c>
      <c r="AJ116" s="172">
        <f>IF(VLOOKUP(E116,'Pre-Assessment Estimator'!$E$11:$Z$228,'Pre-Assessment Estimator'!$N$2,FALSE)&gt;AB116,AB116,VLOOKUP(E116,'Pre-Assessment Estimator'!$E$11:$Z$228,'Pre-Assessment Estimator'!$N$2,FALSE))</f>
        <v>0</v>
      </c>
      <c r="AK116" s="172">
        <f>IF(VLOOKUP(E116,'Pre-Assessment Estimator'!$E$11:$Z$228,'Pre-Assessment Estimator'!$U$2,FALSE)&gt;AB116,AB116,VLOOKUP(E116,'Pre-Assessment Estimator'!$E$11:$Z$228,'Pre-Assessment Estimator'!$U$2,FALSE))</f>
        <v>0</v>
      </c>
      <c r="AM116" s="292"/>
      <c r="AN116" s="293"/>
      <c r="AO116" s="293"/>
      <c r="AP116" s="293"/>
      <c r="AQ116" s="294"/>
      <c r="AR116" s="139"/>
      <c r="AS116" s="292"/>
      <c r="AT116" s="293"/>
      <c r="AU116" s="293"/>
      <c r="AV116" s="293"/>
      <c r="AW116" s="294"/>
      <c r="AY116" s="188"/>
      <c r="AZ116" s="189"/>
      <c r="BA116" s="189"/>
      <c r="BB116" s="189"/>
      <c r="BC116" s="190"/>
      <c r="BD116" s="182">
        <f t="shared" si="60"/>
        <v>9</v>
      </c>
      <c r="BE116" s="164" t="str">
        <f t="shared" si="256"/>
        <v>N/A</v>
      </c>
      <c r="BF116" s="185"/>
      <c r="BG116" s="182">
        <f t="shared" ref="BG116:BG120" si="272">IF(BC116=0,9,IF(AJ116&gt;=BC116,5,IF(AJ116&gt;=BB116,4,IF(AJ116&gt;=BA116,3,IF(AJ116&gt;=AZ116,2,IF(AJ116&lt;AY116,0,1))))))</f>
        <v>9</v>
      </c>
      <c r="BH116" s="164" t="str">
        <f t="shared" si="257"/>
        <v>N/A</v>
      </c>
      <c r="BI116" s="185"/>
      <c r="BJ116" s="182">
        <f t="shared" si="28"/>
        <v>9</v>
      </c>
      <c r="BK116" s="164" t="str">
        <f t="shared" si="258"/>
        <v>N/A</v>
      </c>
      <c r="BL116" s="185"/>
      <c r="BO116" s="167"/>
      <c r="BP116" s="167"/>
      <c r="BQ116" s="167" t="str">
        <f t="shared" si="157"/>
        <v/>
      </c>
      <c r="BR116" s="167">
        <f t="shared" si="198"/>
        <v>9</v>
      </c>
      <c r="BS116" s="167">
        <f t="shared" si="199"/>
        <v>9</v>
      </c>
      <c r="BT116" s="167">
        <f t="shared" si="200"/>
        <v>9</v>
      </c>
      <c r="BW116" s="167"/>
      <c r="BX116" s="167"/>
      <c r="BY116" s="230"/>
      <c r="BZ116" s="167"/>
      <c r="CA116" s="680"/>
      <c r="CB116" s="167"/>
      <c r="CE116" s="167"/>
      <c r="CG116" s="681"/>
    </row>
    <row r="117" spans="1:85" x14ac:dyDescent="0.25">
      <c r="A117" s="96">
        <v>109</v>
      </c>
      <c r="B117" s="137" t="str">
        <f>D117</f>
        <v>Wat 03</v>
      </c>
      <c r="C117" s="137" t="str">
        <f>B117</f>
        <v>Wat 03</v>
      </c>
      <c r="D117" s="834" t="s">
        <v>170</v>
      </c>
      <c r="E117" s="832" t="s">
        <v>153</v>
      </c>
      <c r="F117" s="933">
        <f>SUM(F118:F120)</f>
        <v>2</v>
      </c>
      <c r="G117" s="933">
        <f t="shared" ref="G117:R117" si="273">SUM(G118:G120)</f>
        <v>2</v>
      </c>
      <c r="H117" s="933">
        <f t="shared" si="273"/>
        <v>2</v>
      </c>
      <c r="I117" s="933">
        <f t="shared" si="273"/>
        <v>2</v>
      </c>
      <c r="J117" s="933">
        <f t="shared" si="273"/>
        <v>2</v>
      </c>
      <c r="K117" s="933">
        <f t="shared" si="273"/>
        <v>2</v>
      </c>
      <c r="L117" s="933">
        <f t="shared" si="273"/>
        <v>2</v>
      </c>
      <c r="M117" s="933">
        <f t="shared" si="273"/>
        <v>2</v>
      </c>
      <c r="N117" s="933">
        <f t="shared" si="273"/>
        <v>2</v>
      </c>
      <c r="O117" s="933">
        <f t="shared" si="273"/>
        <v>2</v>
      </c>
      <c r="P117" s="933">
        <f t="shared" si="273"/>
        <v>2</v>
      </c>
      <c r="Q117" s="933">
        <f t="shared" ref="Q117" si="274">SUM(Q118:Q120)</f>
        <v>2</v>
      </c>
      <c r="R117" s="933">
        <f t="shared" si="273"/>
        <v>2</v>
      </c>
      <c r="T117" s="963">
        <f t="shared" si="248"/>
        <v>2</v>
      </c>
      <c r="U117" s="222"/>
      <c r="V117" s="230"/>
      <c r="W117" s="230"/>
      <c r="X117" s="230">
        <f>'Manuell filtrering og justering'!E54</f>
        <v>0</v>
      </c>
      <c r="Y117" s="230"/>
      <c r="Z117" s="958">
        <f t="shared" ref="Z117" si="275">SUM(Z118:Z120)</f>
        <v>0</v>
      </c>
      <c r="AA117" s="963">
        <f t="shared" si="250"/>
        <v>0</v>
      </c>
      <c r="AB117" s="1066">
        <f>SUM(AB118:AB120)</f>
        <v>2</v>
      </c>
      <c r="AD117" s="171">
        <f t="shared" si="251"/>
        <v>8.8888888888888889E-3</v>
      </c>
      <c r="AE117" s="921">
        <f>SUM(AE118:AE120)</f>
        <v>0</v>
      </c>
      <c r="AF117" s="921">
        <f t="shared" ref="AF117:AG117" si="276">SUM(AF118:AF120)</f>
        <v>0</v>
      </c>
      <c r="AG117" s="921">
        <f t="shared" si="276"/>
        <v>0</v>
      </c>
      <c r="AI117" s="958">
        <f t="shared" ref="AI117" si="277">SUM(AI118:AI120)</f>
        <v>0</v>
      </c>
      <c r="AJ117" s="958">
        <f t="shared" ref="AJ117" si="278">SUM(AJ118:AJ120)</f>
        <v>0</v>
      </c>
      <c r="AK117" s="958">
        <f t="shared" ref="AK117" si="279">SUM(AK118:AK120)</f>
        <v>0</v>
      </c>
      <c r="AL117" s="96" t="s">
        <v>425</v>
      </c>
      <c r="AM117" s="292"/>
      <c r="AN117" s="293"/>
      <c r="AO117" s="293"/>
      <c r="AP117" s="293"/>
      <c r="AQ117" s="294"/>
      <c r="AR117" s="139"/>
      <c r="AS117" s="292"/>
      <c r="AT117" s="293"/>
      <c r="AU117" s="293"/>
      <c r="AV117" s="293"/>
      <c r="AW117" s="294"/>
      <c r="AY117" s="188"/>
      <c r="AZ117" s="189"/>
      <c r="BA117" s="189"/>
      <c r="BB117" s="189"/>
      <c r="BC117" s="190"/>
      <c r="BD117" s="182">
        <f t="shared" ref="BD117:BD120" si="280">IF(BC117=0,9,IF(AI117&gt;=BC117,5,IF(AI117&gt;=BB117,4,IF(AI117&gt;=BA117,3,IF(AI117&gt;=AZ117,2,IF(AI117&lt;AY117,0,1))))))</f>
        <v>9</v>
      </c>
      <c r="BE117" s="164" t="str">
        <f t="shared" si="256"/>
        <v>N/A</v>
      </c>
      <c r="BF117" s="185"/>
      <c r="BG117" s="182">
        <f t="shared" si="272"/>
        <v>9</v>
      </c>
      <c r="BH117" s="164" t="str">
        <f t="shared" si="257"/>
        <v>N/A</v>
      </c>
      <c r="BI117" s="185"/>
      <c r="BJ117" s="182">
        <f t="shared" ref="BJ117:BJ120" si="281">IF(BC117=0,9,IF(AK117&gt;=BC117,5,IF(AK117&gt;=BB117,4,IF(AK117&gt;=BA117,3,IF(AK117&gt;=AZ117,2,IF(AK117&lt;AY117,0,1))))))</f>
        <v>9</v>
      </c>
      <c r="BK117" s="164" t="str">
        <f t="shared" si="258"/>
        <v>N/A</v>
      </c>
      <c r="BL117" s="185"/>
      <c r="BO117" s="167"/>
      <c r="BP117" s="167"/>
      <c r="BQ117" s="167" t="str">
        <f t="shared" si="157"/>
        <v/>
      </c>
      <c r="BR117" s="167">
        <f t="shared" si="198"/>
        <v>9</v>
      </c>
      <c r="BS117" s="167">
        <f t="shared" si="199"/>
        <v>9</v>
      </c>
      <c r="BT117" s="167">
        <f t="shared" si="200"/>
        <v>9</v>
      </c>
      <c r="BW117" s="167" t="str">
        <f>D117</f>
        <v>Wat 03</v>
      </c>
      <c r="BX117" s="167" t="str">
        <f>IFERROR(VLOOKUP($E117,'Pre-Assessment Estimator'!$E$11:$AB$228,'Pre-Assessment Estimator'!AB$2,FALSE),"")</f>
        <v>No</v>
      </c>
      <c r="BY117" s="230" t="str">
        <f>IFERROR(VLOOKUP($E117,'Pre-Assessment Estimator'!$E$11:$AI$228,'Pre-Assessment Estimator'!AI$2,FALSE),"")</f>
        <v>Ja</v>
      </c>
      <c r="BZ117" s="167">
        <f>IFERROR(VLOOKUP($BX117,$E$294:$H$327,F$292,FALSE),"")</f>
        <v>1</v>
      </c>
      <c r="CA117" s="672" t="s">
        <v>428</v>
      </c>
      <c r="CB117" s="167">
        <f>H313</f>
        <v>1</v>
      </c>
      <c r="CC117" s="96" t="str">
        <f>IFERROR(VLOOKUP($BX117,$E$294:$H$327,I$292,FALSE),"")</f>
        <v/>
      </c>
      <c r="CD117" s="96" t="s">
        <v>403</v>
      </c>
      <c r="CE117" s="167">
        <f>VLOOKUP(CA117,$CA$4:$CB$5,2,FALSE)</f>
        <v>0</v>
      </c>
      <c r="CG117" s="681">
        <f>IF($BX$5=ais_nei,CE117,IF(AND(CA117=$CA$4,BX117=$CC$4),0,BZ117))</f>
        <v>0</v>
      </c>
    </row>
    <row r="118" spans="1:85" x14ac:dyDescent="0.25">
      <c r="A118" s="96">
        <v>110</v>
      </c>
      <c r="B118" s="96" t="str">
        <f t="shared" ref="B118:B120" si="282">$D$117&amp;D118</f>
        <v>Wat 03a</v>
      </c>
      <c r="C118" s="96" t="str">
        <f t="shared" si="159"/>
        <v>Wat 03</v>
      </c>
      <c r="D118" s="163" t="s">
        <v>692</v>
      </c>
      <c r="E118" s="1123" t="s">
        <v>642</v>
      </c>
      <c r="F118" s="775">
        <v>1</v>
      </c>
      <c r="G118" s="775">
        <v>1</v>
      </c>
      <c r="H118" s="775">
        <v>1</v>
      </c>
      <c r="I118" s="775">
        <v>1</v>
      </c>
      <c r="J118" s="775">
        <v>1</v>
      </c>
      <c r="K118" s="775">
        <v>1</v>
      </c>
      <c r="L118" s="775">
        <v>1</v>
      </c>
      <c r="M118" s="775">
        <v>1</v>
      </c>
      <c r="N118" s="775">
        <v>1</v>
      </c>
      <c r="O118" s="775">
        <v>1</v>
      </c>
      <c r="P118" s="775">
        <v>1</v>
      </c>
      <c r="Q118" s="775">
        <v>1</v>
      </c>
      <c r="R118" s="775">
        <v>1</v>
      </c>
      <c r="S118" s="97"/>
      <c r="T118" s="221">
        <f t="shared" si="248"/>
        <v>1</v>
      </c>
      <c r="U118" s="222">
        <f>IF(AND(ADBT0=ADBT12,OR('Assessment Details'!F6='Assessment Details'!V6,'Assessment Details'!F6='Assessment Details'!V7)),Poeng!T118,0)</f>
        <v>0</v>
      </c>
      <c r="V118" s="167"/>
      <c r="W118" s="167"/>
      <c r="X118" s="167"/>
      <c r="Y118" s="168"/>
      <c r="Z118" s="168">
        <f>VLOOKUP(B118,'Manuell filtrering og justering'!$A$7:$H$253,'Manuell filtrering og justering'!$H$1,FALSE)</f>
        <v>0</v>
      </c>
      <c r="AA118" s="169">
        <f t="shared" si="250"/>
        <v>0</v>
      </c>
      <c r="AB118" s="170">
        <f>IF($AC$5='Manuell filtrering og justering'!$J$2,Z118,(T118-AA118))</f>
        <v>1</v>
      </c>
      <c r="AD118" s="171">
        <f t="shared" si="251"/>
        <v>4.4444444444444444E-3</v>
      </c>
      <c r="AE118" s="171">
        <f t="shared" si="260"/>
        <v>0</v>
      </c>
      <c r="AF118" s="171">
        <f t="shared" si="261"/>
        <v>0</v>
      </c>
      <c r="AG118" s="171">
        <f t="shared" si="262"/>
        <v>0</v>
      </c>
      <c r="AI118" s="172">
        <f>IF(VLOOKUP(E118,'Pre-Assessment Estimator'!$E$11:$Z$228,'Pre-Assessment Estimator'!$G$2,FALSE)&gt;AB118,AB118,VLOOKUP(E118,'Pre-Assessment Estimator'!$E$11:$Z$228,'Pre-Assessment Estimator'!$G$2,FALSE))</f>
        <v>0</v>
      </c>
      <c r="AJ118" s="172">
        <f>IF(VLOOKUP(E118,'Pre-Assessment Estimator'!$E$11:$Z$228,'Pre-Assessment Estimator'!$N$2,FALSE)&gt;AB118,AB118,VLOOKUP(E118,'Pre-Assessment Estimator'!$E$11:$Z$228,'Pre-Assessment Estimator'!$N$2,FALSE))</f>
        <v>0</v>
      </c>
      <c r="AK118" s="172">
        <f>IF(VLOOKUP(E118,'Pre-Assessment Estimator'!$E$11:$Z$228,'Pre-Assessment Estimator'!$U$2,FALSE)&gt;AB118,AB118,VLOOKUP(E118,'Pre-Assessment Estimator'!$E$11:$Z$228,'Pre-Assessment Estimator'!$U$2,FALSE))</f>
        <v>0</v>
      </c>
      <c r="AM118" s="850"/>
      <c r="AN118" s="851"/>
      <c r="AO118" s="851"/>
      <c r="AP118" s="851"/>
      <c r="AQ118" s="843"/>
      <c r="AR118" s="139"/>
      <c r="AS118" s="850"/>
      <c r="AT118" s="851"/>
      <c r="AU118" s="851"/>
      <c r="AV118" s="851"/>
      <c r="AW118" s="843"/>
      <c r="AY118" s="731"/>
      <c r="AZ118" s="733"/>
      <c r="BA118" s="733"/>
      <c r="BB118" s="733"/>
      <c r="BC118" s="852"/>
      <c r="BD118" s="182">
        <f t="shared" si="280"/>
        <v>9</v>
      </c>
      <c r="BE118" s="164" t="str">
        <f t="shared" si="256"/>
        <v>N/A</v>
      </c>
      <c r="BF118" s="185"/>
      <c r="BG118" s="182">
        <f t="shared" si="272"/>
        <v>9</v>
      </c>
      <c r="BH118" s="164" t="str">
        <f t="shared" si="257"/>
        <v>N/A</v>
      </c>
      <c r="BI118" s="185"/>
      <c r="BJ118" s="182">
        <f t="shared" si="281"/>
        <v>9</v>
      </c>
      <c r="BK118" s="164" t="str">
        <f t="shared" si="258"/>
        <v>N/A</v>
      </c>
      <c r="BL118" s="847"/>
      <c r="BO118" s="167"/>
      <c r="BP118" s="167"/>
      <c r="BQ118" s="167" t="str">
        <f t="shared" si="157"/>
        <v/>
      </c>
      <c r="BR118" s="167">
        <f t="shared" si="198"/>
        <v>9</v>
      </c>
      <c r="BS118" s="167">
        <f t="shared" si="199"/>
        <v>9</v>
      </c>
      <c r="BT118" s="167">
        <f t="shared" si="200"/>
        <v>9</v>
      </c>
      <c r="BW118" s="167"/>
      <c r="BX118" s="167"/>
      <c r="BY118" s="230"/>
      <c r="BZ118" s="167"/>
      <c r="CA118" s="672"/>
      <c r="CB118" s="167"/>
      <c r="CE118" s="99"/>
      <c r="CG118" s="681"/>
    </row>
    <row r="119" spans="1:85" x14ac:dyDescent="0.25">
      <c r="A119" s="96">
        <v>111</v>
      </c>
      <c r="B119" s="96" t="str">
        <f t="shared" si="282"/>
        <v>Wat 03b</v>
      </c>
      <c r="C119" s="96" t="str">
        <f t="shared" si="159"/>
        <v>Wat 03</v>
      </c>
      <c r="D119" s="163" t="s">
        <v>695</v>
      </c>
      <c r="E119" s="1123" t="s">
        <v>918</v>
      </c>
      <c r="F119" s="775">
        <v>1</v>
      </c>
      <c r="G119" s="775">
        <v>1</v>
      </c>
      <c r="H119" s="1022">
        <v>0</v>
      </c>
      <c r="I119" s="775">
        <v>1</v>
      </c>
      <c r="J119" s="775">
        <v>1</v>
      </c>
      <c r="K119" s="775">
        <v>1</v>
      </c>
      <c r="L119" s="775">
        <v>1</v>
      </c>
      <c r="M119" s="775">
        <v>1</v>
      </c>
      <c r="N119" s="775">
        <v>1</v>
      </c>
      <c r="O119" s="775">
        <v>1</v>
      </c>
      <c r="P119" s="775">
        <v>1</v>
      </c>
      <c r="Q119" s="775">
        <v>1</v>
      </c>
      <c r="R119" s="775">
        <v>1</v>
      </c>
      <c r="S119" s="97"/>
      <c r="T119" s="221">
        <f t="shared" si="248"/>
        <v>1</v>
      </c>
      <c r="U119" s="222">
        <f>IF(AND('Assessment Details'!I15=1,AD_heat='Assessment Details'!R22),Poeng!T119,0)</f>
        <v>0</v>
      </c>
      <c r="V119" s="167"/>
      <c r="W119" s="167"/>
      <c r="X119" s="167"/>
      <c r="Y119" s="169">
        <f>IF($Y$4=$Y$6,T119,0)</f>
        <v>0</v>
      </c>
      <c r="Z119" s="168">
        <f>VLOOKUP(B119,'Manuell filtrering og justering'!$A$7:$H$253,'Manuell filtrering og justering'!$H$1,FALSE)</f>
        <v>0</v>
      </c>
      <c r="AA119" s="169">
        <f t="shared" si="250"/>
        <v>0</v>
      </c>
      <c r="AB119" s="170">
        <f>IF($AC$5='Manuell filtrering og justering'!$J$2,Z119,(T119-AA119))</f>
        <v>1</v>
      </c>
      <c r="AD119" s="171">
        <f t="shared" si="251"/>
        <v>4.4444444444444444E-3</v>
      </c>
      <c r="AE119" s="171">
        <f t="shared" si="260"/>
        <v>0</v>
      </c>
      <c r="AF119" s="171">
        <f t="shared" si="261"/>
        <v>0</v>
      </c>
      <c r="AG119" s="171">
        <f t="shared" si="262"/>
        <v>0</v>
      </c>
      <c r="AI119" s="172">
        <f>IF(VLOOKUP(E119,'Pre-Assessment Estimator'!$E$11:$Z$228,'Pre-Assessment Estimator'!$G$2,FALSE)&gt;AB119,AB119,VLOOKUP(E119,'Pre-Assessment Estimator'!$E$11:$Z$228,'Pre-Assessment Estimator'!$G$2,FALSE))</f>
        <v>0</v>
      </c>
      <c r="AJ119" s="172">
        <f>IF(VLOOKUP(E119,'Pre-Assessment Estimator'!$E$11:$Z$228,'Pre-Assessment Estimator'!$N$2,FALSE)&gt;AB119,AB119,VLOOKUP(E119,'Pre-Assessment Estimator'!$E$11:$Z$228,'Pre-Assessment Estimator'!$N$2,FALSE))</f>
        <v>0</v>
      </c>
      <c r="AK119" s="172">
        <f>IF(VLOOKUP(E119,'Pre-Assessment Estimator'!$E$11:$Z$228,'Pre-Assessment Estimator'!$U$2,FALSE)&gt;AB119,AB119,VLOOKUP(E119,'Pre-Assessment Estimator'!$E$11:$Z$228,'Pre-Assessment Estimator'!$U$2,FALSE))</f>
        <v>0</v>
      </c>
      <c r="AM119" s="850"/>
      <c r="AN119" s="851"/>
      <c r="AO119" s="851"/>
      <c r="AP119" s="851"/>
      <c r="AQ119" s="843"/>
      <c r="AR119" s="139"/>
      <c r="AS119" s="850"/>
      <c r="AT119" s="851"/>
      <c r="AU119" s="851"/>
      <c r="AV119" s="851"/>
      <c r="AW119" s="843"/>
      <c r="AY119" s="731"/>
      <c r="AZ119" s="733"/>
      <c r="BA119" s="733"/>
      <c r="BB119" s="733"/>
      <c r="BC119" s="852"/>
      <c r="BD119" s="182">
        <f t="shared" si="280"/>
        <v>9</v>
      </c>
      <c r="BE119" s="164" t="str">
        <f t="shared" si="256"/>
        <v>N/A</v>
      </c>
      <c r="BF119" s="185"/>
      <c r="BG119" s="182">
        <f t="shared" si="272"/>
        <v>9</v>
      </c>
      <c r="BH119" s="164" t="str">
        <f t="shared" si="257"/>
        <v>N/A</v>
      </c>
      <c r="BI119" s="185"/>
      <c r="BJ119" s="182">
        <f t="shared" si="281"/>
        <v>9</v>
      </c>
      <c r="BK119" s="164" t="str">
        <f t="shared" si="258"/>
        <v>N/A</v>
      </c>
      <c r="BL119" s="847"/>
      <c r="BO119" s="167"/>
      <c r="BP119" s="167"/>
      <c r="BQ119" s="167" t="str">
        <f t="shared" si="157"/>
        <v/>
      </c>
      <c r="BR119" s="167">
        <f t="shared" si="198"/>
        <v>9</v>
      </c>
      <c r="BS119" s="167">
        <f t="shared" si="199"/>
        <v>9</v>
      </c>
      <c r="BT119" s="167">
        <f t="shared" si="200"/>
        <v>9</v>
      </c>
      <c r="BW119" s="167"/>
      <c r="BX119" s="167"/>
      <c r="BY119" s="230"/>
      <c r="BZ119" s="167"/>
      <c r="CA119" s="672"/>
      <c r="CB119" s="167"/>
      <c r="CE119" s="99"/>
      <c r="CG119" s="681"/>
    </row>
    <row r="120" spans="1:85" x14ac:dyDescent="0.25">
      <c r="A120" s="96">
        <v>112</v>
      </c>
      <c r="B120" s="96" t="str">
        <f t="shared" si="282"/>
        <v>Wat 03c</v>
      </c>
      <c r="C120" s="96" t="str">
        <f t="shared" si="159"/>
        <v>Wat 03</v>
      </c>
      <c r="D120" s="166" t="s">
        <v>696</v>
      </c>
      <c r="E120" s="1123" t="s">
        <v>644</v>
      </c>
      <c r="F120" s="775">
        <v>0</v>
      </c>
      <c r="G120" s="775">
        <v>0</v>
      </c>
      <c r="H120" s="1022">
        <v>1</v>
      </c>
      <c r="I120" s="775">
        <v>0</v>
      </c>
      <c r="J120" s="775">
        <v>0</v>
      </c>
      <c r="K120" s="775">
        <v>0</v>
      </c>
      <c r="L120" s="775">
        <v>0</v>
      </c>
      <c r="M120" s="775">
        <v>0</v>
      </c>
      <c r="N120" s="775">
        <v>0</v>
      </c>
      <c r="O120" s="775">
        <v>0</v>
      </c>
      <c r="P120" s="775">
        <v>0</v>
      </c>
      <c r="Q120" s="775">
        <v>0</v>
      </c>
      <c r="R120" s="775">
        <v>0</v>
      </c>
      <c r="S120" s="97"/>
      <c r="T120" s="221">
        <f t="shared" si="248"/>
        <v>0</v>
      </c>
      <c r="U120" s="166"/>
      <c r="V120" s="167"/>
      <c r="W120" s="167"/>
      <c r="X120" s="167"/>
      <c r="Y120" s="168"/>
      <c r="Z120" s="168">
        <f>VLOOKUP(B120,'Manuell filtrering og justering'!$A$7:$H$253,'Manuell filtrering og justering'!$H$1,FALSE)</f>
        <v>0</v>
      </c>
      <c r="AA120" s="169">
        <f t="shared" si="250"/>
        <v>0</v>
      </c>
      <c r="AB120" s="170">
        <f>IF($AC$5='Manuell filtrering og justering'!$J$2,Z120,(T120-AA120))</f>
        <v>0</v>
      </c>
      <c r="AD120" s="171">
        <f t="shared" si="251"/>
        <v>0</v>
      </c>
      <c r="AE120" s="171">
        <f t="shared" si="260"/>
        <v>0</v>
      </c>
      <c r="AF120" s="171">
        <f t="shared" si="261"/>
        <v>0</v>
      </c>
      <c r="AG120" s="171">
        <f t="shared" si="262"/>
        <v>0</v>
      </c>
      <c r="AI120" s="172">
        <f>IF(VLOOKUP(E120,'Pre-Assessment Estimator'!$E$11:$Z$228,'Pre-Assessment Estimator'!$G$2,FALSE)&gt;AB120,AB120,VLOOKUP(E120,'Pre-Assessment Estimator'!$E$11:$Z$228,'Pre-Assessment Estimator'!$G$2,FALSE))</f>
        <v>0</v>
      </c>
      <c r="AJ120" s="172">
        <f>IF(VLOOKUP(E120,'Pre-Assessment Estimator'!$E$11:$Z$228,'Pre-Assessment Estimator'!$N$2,FALSE)&gt;AB120,AB120,VLOOKUP(E120,'Pre-Assessment Estimator'!$E$11:$Z$228,'Pre-Assessment Estimator'!$N$2,FALSE))</f>
        <v>0</v>
      </c>
      <c r="AK120" s="172">
        <f>IF(VLOOKUP(E120,'Pre-Assessment Estimator'!$E$11:$Z$228,'Pre-Assessment Estimator'!$U$2,FALSE)&gt;AB120,AB120,VLOOKUP(E120,'Pre-Assessment Estimator'!$E$11:$Z$228,'Pre-Assessment Estimator'!$U$2,FALSE))</f>
        <v>0</v>
      </c>
      <c r="AM120" s="850"/>
      <c r="AN120" s="851"/>
      <c r="AO120" s="851"/>
      <c r="AP120" s="851"/>
      <c r="AQ120" s="843"/>
      <c r="AR120" s="139"/>
      <c r="AS120" s="850"/>
      <c r="AT120" s="851"/>
      <c r="AU120" s="851"/>
      <c r="AV120" s="851"/>
      <c r="AW120" s="843"/>
      <c r="AY120" s="731"/>
      <c r="AZ120" s="733"/>
      <c r="BA120" s="733"/>
      <c r="BB120" s="733"/>
      <c r="BC120" s="852"/>
      <c r="BD120" s="182">
        <f t="shared" si="280"/>
        <v>9</v>
      </c>
      <c r="BE120" s="164" t="str">
        <f t="shared" si="256"/>
        <v>N/A</v>
      </c>
      <c r="BF120" s="185"/>
      <c r="BG120" s="182">
        <f t="shared" si="272"/>
        <v>9</v>
      </c>
      <c r="BH120" s="164" t="str">
        <f t="shared" si="257"/>
        <v>N/A</v>
      </c>
      <c r="BI120" s="185"/>
      <c r="BJ120" s="182">
        <f t="shared" si="281"/>
        <v>9</v>
      </c>
      <c r="BK120" s="164" t="str">
        <f t="shared" si="258"/>
        <v>N/A</v>
      </c>
      <c r="BL120" s="847"/>
      <c r="BO120" s="167"/>
      <c r="BP120" s="167"/>
      <c r="BQ120" s="167" t="str">
        <f t="shared" si="157"/>
        <v/>
      </c>
      <c r="BR120" s="167">
        <f t="shared" si="198"/>
        <v>9</v>
      </c>
      <c r="BS120" s="167">
        <f t="shared" si="199"/>
        <v>9</v>
      </c>
      <c r="BT120" s="167">
        <f t="shared" si="200"/>
        <v>9</v>
      </c>
      <c r="BW120" s="167"/>
      <c r="BX120" s="167"/>
      <c r="BY120" s="230"/>
      <c r="BZ120" s="167"/>
      <c r="CA120" s="672"/>
      <c r="CB120" s="167"/>
      <c r="CE120" s="99"/>
      <c r="CG120" s="681"/>
    </row>
    <row r="121" spans="1:85" ht="15.75" thickBot="1" x14ac:dyDescent="0.3">
      <c r="A121" s="96">
        <v>113</v>
      </c>
      <c r="B121" s="137" t="str">
        <f>D121</f>
        <v>Wat 04</v>
      </c>
      <c r="C121" s="137" t="str">
        <f>B121</f>
        <v>Wat 04</v>
      </c>
      <c r="D121" s="834" t="s">
        <v>171</v>
      </c>
      <c r="E121" s="832" t="s">
        <v>154</v>
      </c>
      <c r="F121" s="933">
        <f>SUM(F122)</f>
        <v>1</v>
      </c>
      <c r="G121" s="933">
        <f t="shared" ref="G121:R121" si="283">SUM(G122)</f>
        <v>1</v>
      </c>
      <c r="H121" s="933">
        <f t="shared" si="283"/>
        <v>1</v>
      </c>
      <c r="I121" s="933">
        <f t="shared" si="283"/>
        <v>1</v>
      </c>
      <c r="J121" s="933">
        <f t="shared" si="283"/>
        <v>1</v>
      </c>
      <c r="K121" s="933">
        <f t="shared" si="283"/>
        <v>1</v>
      </c>
      <c r="L121" s="933">
        <f t="shared" si="283"/>
        <v>1</v>
      </c>
      <c r="M121" s="933">
        <f t="shared" si="283"/>
        <v>1</v>
      </c>
      <c r="N121" s="933">
        <f t="shared" si="283"/>
        <v>1</v>
      </c>
      <c r="O121" s="933">
        <f t="shared" si="283"/>
        <v>1</v>
      </c>
      <c r="P121" s="933">
        <f t="shared" si="283"/>
        <v>1</v>
      </c>
      <c r="Q121" s="933">
        <f t="shared" si="283"/>
        <v>1</v>
      </c>
      <c r="R121" s="933">
        <f t="shared" si="283"/>
        <v>1</v>
      </c>
      <c r="T121" s="963">
        <f t="shared" si="248"/>
        <v>1</v>
      </c>
      <c r="U121" s="222">
        <f>U122</f>
        <v>0</v>
      </c>
      <c r="V121" s="230"/>
      <c r="W121" s="230"/>
      <c r="X121" s="230">
        <f>'Manuell filtrering og justering'!E55</f>
        <v>0</v>
      </c>
      <c r="Y121" s="230"/>
      <c r="Z121" s="958">
        <f t="shared" ref="Z121" si="284">SUM(Z122)</f>
        <v>1</v>
      </c>
      <c r="AA121" s="963">
        <f t="shared" si="250"/>
        <v>0</v>
      </c>
      <c r="AB121" s="920">
        <f>AB122</f>
        <v>1</v>
      </c>
      <c r="AD121" s="171">
        <f t="shared" si="251"/>
        <v>4.4444444444444444E-3</v>
      </c>
      <c r="AE121" s="921">
        <f>SUM(AE122)</f>
        <v>0</v>
      </c>
      <c r="AF121" s="921">
        <f t="shared" ref="AF121:AG121" si="285">SUM(AF122)</f>
        <v>0</v>
      </c>
      <c r="AG121" s="921">
        <f t="shared" si="285"/>
        <v>0</v>
      </c>
      <c r="AI121" s="958">
        <f t="shared" ref="AI121" si="286">SUM(AI122)</f>
        <v>0</v>
      </c>
      <c r="AJ121" s="958">
        <f t="shared" ref="AJ121" si="287">SUM(AJ122)</f>
        <v>0</v>
      </c>
      <c r="AK121" s="958">
        <f t="shared" ref="AK121" si="288">SUM(AK122)</f>
        <v>0</v>
      </c>
      <c r="AM121" s="295"/>
      <c r="AN121" s="296"/>
      <c r="AO121" s="296"/>
      <c r="AP121" s="296"/>
      <c r="AQ121" s="297"/>
      <c r="AR121" s="139"/>
      <c r="AS121" s="295"/>
      <c r="AT121" s="296"/>
      <c r="AU121" s="296"/>
      <c r="AV121" s="296"/>
      <c r="AW121" s="297"/>
      <c r="AY121" s="194"/>
      <c r="AZ121" s="196"/>
      <c r="BA121" s="196"/>
      <c r="BB121" s="196"/>
      <c r="BC121" s="197"/>
      <c r="BD121" s="198">
        <f t="shared" si="60"/>
        <v>9</v>
      </c>
      <c r="BE121" s="164" t="str">
        <f t="shared" si="256"/>
        <v>N/A</v>
      </c>
      <c r="BF121" s="200"/>
      <c r="BG121" s="198">
        <f>IF(BC121=0,9,IF(AJ121&gt;=BC121,5,IF(AJ121&gt;=BB121,4,IF(AJ121&gt;=BA121,3,IF(AJ121&gt;=AZ121,2,IF(AJ121&lt;AY121,0,1))))))</f>
        <v>9</v>
      </c>
      <c r="BH121" s="164" t="str">
        <f t="shared" si="257"/>
        <v>N/A</v>
      </c>
      <c r="BI121" s="200"/>
      <c r="BJ121" s="198">
        <f t="shared" si="28"/>
        <v>9</v>
      </c>
      <c r="BK121" s="164" t="str">
        <f t="shared" si="258"/>
        <v>N/A</v>
      </c>
      <c r="BL121" s="200"/>
      <c r="BO121" s="167"/>
      <c r="BP121" s="167"/>
      <c r="BQ121" s="167" t="str">
        <f t="shared" si="157"/>
        <v/>
      </c>
      <c r="BR121" s="167">
        <f t="shared" si="198"/>
        <v>9</v>
      </c>
      <c r="BS121" s="167">
        <f t="shared" si="199"/>
        <v>9</v>
      </c>
      <c r="BT121" s="167">
        <f t="shared" si="200"/>
        <v>9</v>
      </c>
      <c r="BW121" s="167" t="str">
        <f>D121</f>
        <v>Wat 04</v>
      </c>
      <c r="BX121" s="167" t="str">
        <f>IFERROR(VLOOKUP($E121,'Pre-Assessment Estimator'!$E$11:$AB$228,'Pre-Assessment Estimator'!AB$2,FALSE),"")</f>
        <v>N/A</v>
      </c>
      <c r="BY121" s="167">
        <f>IFERROR(VLOOKUP($E121,'Pre-Assessment Estimator'!$E$11:$AI$228,'Pre-Assessment Estimator'!AI$2,FALSE),"")</f>
        <v>0</v>
      </c>
      <c r="BZ121" s="167">
        <f>IFERROR(VLOOKUP($BX121,$E$294:$H$327,F$292,FALSE),"")</f>
        <v>1</v>
      </c>
      <c r="CA121" s="167">
        <f>IFERROR(VLOOKUP($BX121,$E$294:$H$327,G$292,FALSE),"")</f>
        <v>0</v>
      </c>
      <c r="CB121" s="167"/>
      <c r="CC121" s="96" t="str">
        <f>IFERROR(VLOOKUP($BX121,$E$294:$H$327,I$292,FALSE),"")</f>
        <v/>
      </c>
    </row>
    <row r="122" spans="1:85" ht="15.75" thickBot="1" x14ac:dyDescent="0.3">
      <c r="A122" s="96">
        <v>114</v>
      </c>
      <c r="B122" s="96" t="str">
        <f>$D$121&amp;D122</f>
        <v>Wat 04a</v>
      </c>
      <c r="C122" s="96" t="str">
        <f t="shared" si="159"/>
        <v>Wat 04</v>
      </c>
      <c r="D122" s="231" t="s">
        <v>692</v>
      </c>
      <c r="E122" s="1123" t="s">
        <v>367</v>
      </c>
      <c r="F122" s="943">
        <v>1</v>
      </c>
      <c r="G122" s="943">
        <v>1</v>
      </c>
      <c r="H122" s="943">
        <v>1</v>
      </c>
      <c r="I122" s="943">
        <v>1</v>
      </c>
      <c r="J122" s="943">
        <v>1</v>
      </c>
      <c r="K122" s="943">
        <v>1</v>
      </c>
      <c r="L122" s="943">
        <v>1</v>
      </c>
      <c r="M122" s="943">
        <v>1</v>
      </c>
      <c r="N122" s="943">
        <v>1</v>
      </c>
      <c r="O122" s="943">
        <v>1</v>
      </c>
      <c r="P122" s="943">
        <v>1</v>
      </c>
      <c r="Q122" s="943">
        <v>1</v>
      </c>
      <c r="R122" s="943">
        <v>1</v>
      </c>
      <c r="T122" s="221">
        <f t="shared" si="248"/>
        <v>1</v>
      </c>
      <c r="U122" s="192">
        <f>IF('Assessment Details'!F23=AD_no,Poeng!T122,0)</f>
        <v>0</v>
      </c>
      <c r="V122" s="193"/>
      <c r="W122" s="193"/>
      <c r="X122" s="193"/>
      <c r="Y122" s="1164"/>
      <c r="Z122" s="168">
        <f>VLOOKUP(B122,'Manuell filtrering og justering'!$A$7:$H$253,'Manuell filtrering og justering'!$H$1,FALSE)</f>
        <v>1</v>
      </c>
      <c r="AA122" s="169">
        <f t="shared" si="250"/>
        <v>0</v>
      </c>
      <c r="AB122" s="170">
        <f>IF($AC$5='Manuell filtrering og justering'!$J$2,Z122,(T122-AA122))</f>
        <v>1</v>
      </c>
      <c r="AD122" s="171">
        <f t="shared" si="251"/>
        <v>4.4444444444444444E-3</v>
      </c>
      <c r="AE122" s="171">
        <f t="shared" si="260"/>
        <v>0</v>
      </c>
      <c r="AF122" s="171">
        <f t="shared" si="261"/>
        <v>0</v>
      </c>
      <c r="AG122" s="171">
        <f t="shared" si="262"/>
        <v>0</v>
      </c>
      <c r="AI122" s="172">
        <f>IF(VLOOKUP(E122,'Pre-Assessment Estimator'!$E$11:$Z$228,'Pre-Assessment Estimator'!$G$2,FALSE)&gt;AB122,AB122,VLOOKUP(E122,'Pre-Assessment Estimator'!$E$11:$Z$228,'Pre-Assessment Estimator'!$G$2,FALSE))</f>
        <v>0</v>
      </c>
      <c r="AJ122" s="172">
        <f>IF(VLOOKUP(E122,'Pre-Assessment Estimator'!$E$11:$Z$228,'Pre-Assessment Estimator'!$N$2,FALSE)&gt;AB122,AB122,VLOOKUP(E122,'Pre-Assessment Estimator'!$E$11:$Z$228,'Pre-Assessment Estimator'!$N$2,FALSE))</f>
        <v>0</v>
      </c>
      <c r="AK122" s="172">
        <f>IF(VLOOKUP(E122,'Pre-Assessment Estimator'!$E$11:$Z$228,'Pre-Assessment Estimator'!$U$2,FALSE)&gt;AB122,AB122,VLOOKUP(E122,'Pre-Assessment Estimator'!$E$11:$Z$228,'Pre-Assessment Estimator'!$U$2,FALSE))</f>
        <v>0</v>
      </c>
      <c r="AM122" s="295"/>
      <c r="AN122" s="296"/>
      <c r="AO122" s="296"/>
      <c r="AP122" s="296"/>
      <c r="AQ122" s="297"/>
      <c r="AR122" s="139"/>
      <c r="AS122" s="295"/>
      <c r="AT122" s="296"/>
      <c r="AU122" s="296"/>
      <c r="AV122" s="296"/>
      <c r="AW122" s="297"/>
      <c r="AY122" s="194"/>
      <c r="AZ122" s="196"/>
      <c r="BA122" s="196"/>
      <c r="BB122" s="196"/>
      <c r="BC122" s="197"/>
      <c r="BD122" s="198">
        <f t="shared" ref="BD122" si="289">IF(BC122=0,9,IF(AI122&gt;=BC122,5,IF(AI122&gt;=BB122,4,IF(AI122&gt;=BA122,3,IF(AI122&gt;=AZ122,2,IF(AI122&lt;AY122,0,1))))))</f>
        <v>9</v>
      </c>
      <c r="BE122" s="164" t="str">
        <f t="shared" si="256"/>
        <v>N/A</v>
      </c>
      <c r="BF122" s="200"/>
      <c r="BG122" s="198">
        <f>IF(BC122=0,9,IF(AJ122&gt;=BC122,5,IF(AJ122&gt;=BB122,4,IF(AJ122&gt;=BA122,3,IF(AJ122&gt;=AZ122,2,IF(AJ122&lt;AY122,0,1))))))</f>
        <v>9</v>
      </c>
      <c r="BH122" s="164" t="str">
        <f t="shared" si="257"/>
        <v>N/A</v>
      </c>
      <c r="BI122" s="200"/>
      <c r="BJ122" s="198">
        <f t="shared" ref="BJ122" si="290">IF(BC122=0,9,IF(AK122&gt;=BC122,5,IF(AK122&gt;=BB122,4,IF(AK122&gt;=BA122,3,IF(AK122&gt;=AZ122,2,IF(AK122&lt;AY122,0,1))))))</f>
        <v>9</v>
      </c>
      <c r="BK122" s="164" t="str">
        <f t="shared" si="258"/>
        <v>N/A</v>
      </c>
      <c r="BL122" s="200"/>
      <c r="BO122" s="167"/>
      <c r="BP122" s="167"/>
      <c r="BQ122" s="167" t="str">
        <f t="shared" si="157"/>
        <v/>
      </c>
      <c r="BR122" s="167">
        <f t="shared" si="198"/>
        <v>9</v>
      </c>
      <c r="BS122" s="167">
        <f t="shared" si="199"/>
        <v>9</v>
      </c>
      <c r="BT122" s="167">
        <f t="shared" si="200"/>
        <v>9</v>
      </c>
      <c r="BW122" s="314"/>
      <c r="BX122" s="314"/>
      <c r="BY122" s="314"/>
      <c r="BZ122" s="314"/>
      <c r="CA122" s="314"/>
      <c r="CB122" s="314"/>
    </row>
    <row r="123" spans="1:85" ht="15.75" thickBot="1" x14ac:dyDescent="0.3">
      <c r="A123" s="96">
        <v>115</v>
      </c>
      <c r="B123" s="96" t="s">
        <v>885</v>
      </c>
      <c r="D123" s="201"/>
      <c r="E123" s="202" t="s">
        <v>213</v>
      </c>
      <c r="F123" s="773">
        <f>F113+F115+F117+F121</f>
        <v>9</v>
      </c>
      <c r="G123" s="773">
        <f t="shared" ref="G123:R123" si="291">G113+G115+G117+G121</f>
        <v>9</v>
      </c>
      <c r="H123" s="773">
        <f t="shared" si="291"/>
        <v>9</v>
      </c>
      <c r="I123" s="773">
        <f t="shared" si="291"/>
        <v>9</v>
      </c>
      <c r="J123" s="773">
        <f t="shared" si="291"/>
        <v>9</v>
      </c>
      <c r="K123" s="773">
        <f t="shared" si="291"/>
        <v>9</v>
      </c>
      <c r="L123" s="773">
        <f t="shared" si="291"/>
        <v>9</v>
      </c>
      <c r="M123" s="773">
        <f t="shared" si="291"/>
        <v>9</v>
      </c>
      <c r="N123" s="773">
        <f t="shared" si="291"/>
        <v>9</v>
      </c>
      <c r="O123" s="773">
        <f t="shared" si="291"/>
        <v>9</v>
      </c>
      <c r="P123" s="773">
        <f t="shared" si="291"/>
        <v>9</v>
      </c>
      <c r="Q123" s="773">
        <f t="shared" ref="Q123" si="292">Q113+Q115+Q117+Q121</f>
        <v>9</v>
      </c>
      <c r="R123" s="773">
        <f t="shared" si="291"/>
        <v>9</v>
      </c>
      <c r="T123" s="226">
        <f t="shared" si="248"/>
        <v>9</v>
      </c>
      <c r="U123" s="204"/>
      <c r="V123" s="205"/>
      <c r="W123" s="205"/>
      <c r="X123" s="205"/>
      <c r="Y123" s="206"/>
      <c r="Z123" s="206"/>
      <c r="AA123" s="773">
        <f t="shared" ref="AA123:AG123" si="293">AA113+AA115+AA117+AA121</f>
        <v>0</v>
      </c>
      <c r="AB123" s="773">
        <f t="shared" si="293"/>
        <v>9</v>
      </c>
      <c r="AD123" s="208">
        <f t="shared" si="293"/>
        <v>0.04</v>
      </c>
      <c r="AE123" s="208">
        <f t="shared" si="293"/>
        <v>0</v>
      </c>
      <c r="AF123" s="208">
        <f t="shared" si="293"/>
        <v>0</v>
      </c>
      <c r="AG123" s="208">
        <f t="shared" si="293"/>
        <v>0</v>
      </c>
      <c r="AI123" s="78">
        <f t="shared" ref="AI123:AK123" si="294">AI113+AI115+AI117+AI121</f>
        <v>0</v>
      </c>
      <c r="AJ123" s="78">
        <f t="shared" si="294"/>
        <v>0</v>
      </c>
      <c r="AK123" s="78">
        <f t="shared" si="294"/>
        <v>0</v>
      </c>
      <c r="AM123" s="139"/>
      <c r="AN123" s="139"/>
      <c r="AO123" s="139"/>
      <c r="AP123" s="139"/>
      <c r="AQ123" s="139"/>
      <c r="AR123" s="139"/>
      <c r="AS123" s="139"/>
      <c r="AT123" s="139"/>
      <c r="AU123" s="139"/>
      <c r="AV123" s="139"/>
      <c r="AW123" s="139"/>
      <c r="AY123" s="97"/>
      <c r="AZ123" s="209"/>
      <c r="BA123" s="97"/>
      <c r="BB123" s="97"/>
      <c r="BC123" s="97"/>
      <c r="BW123" s="202"/>
      <c r="BX123" s="202" t="str">
        <f>IFERROR(VLOOKUP($E123,'Pre-Assessment Estimator'!$E$11:$AB$228,'Pre-Assessment Estimator'!AB$2,FALSE),"")</f>
        <v/>
      </c>
      <c r="BY123" s="202" t="str">
        <f>IFERROR(VLOOKUP($E123,'Pre-Assessment Estimator'!$E$11:$AI$228,'Pre-Assessment Estimator'!AI$2,FALSE),"")</f>
        <v/>
      </c>
      <c r="BZ123" s="202" t="str">
        <f t="shared" ref="BZ123:CA126" si="295">IFERROR(VLOOKUP($BX123,$E$294:$H$327,F$292,FALSE),"")</f>
        <v/>
      </c>
      <c r="CA123" s="202" t="str">
        <f t="shared" si="295"/>
        <v/>
      </c>
      <c r="CB123" s="202"/>
      <c r="CC123" s="96" t="str">
        <f>IFERROR(VLOOKUP($BX123,$E$294:$H$327,I$292,FALSE),"")</f>
        <v/>
      </c>
    </row>
    <row r="124" spans="1:85" ht="15.75" thickBot="1" x14ac:dyDescent="0.3">
      <c r="A124" s="96">
        <v>116</v>
      </c>
      <c r="AI124" s="1"/>
      <c r="AJ124" s="1"/>
      <c r="AK124" s="1"/>
      <c r="AM124" s="139"/>
      <c r="AN124" s="139"/>
      <c r="AO124" s="139"/>
      <c r="AP124" s="139"/>
      <c r="AQ124" s="139"/>
      <c r="AR124" s="139"/>
      <c r="AS124" s="139"/>
      <c r="AT124" s="139"/>
      <c r="AU124" s="139"/>
      <c r="AV124" s="139"/>
      <c r="AW124" s="139"/>
      <c r="AY124" s="97"/>
      <c r="AZ124" s="97"/>
      <c r="BA124" s="97"/>
      <c r="BB124" s="97"/>
      <c r="BC124" s="97"/>
      <c r="BX124" s="96" t="str">
        <f>IFERROR(VLOOKUP($E124,'Pre-Assessment Estimator'!$E$11:$AB$228,'Pre-Assessment Estimator'!AB$2,FALSE),"")</f>
        <v/>
      </c>
      <c r="BY124" s="96" t="str">
        <f>IFERROR(VLOOKUP($E124,'Pre-Assessment Estimator'!$E$11:$AI$228,'Pre-Assessment Estimator'!AI$2,FALSE),"")</f>
        <v/>
      </c>
      <c r="BZ124" s="96" t="str">
        <f t="shared" si="295"/>
        <v/>
      </c>
      <c r="CA124" s="96" t="str">
        <f t="shared" si="295"/>
        <v/>
      </c>
      <c r="CC124" s="96" t="str">
        <f>IFERROR(VLOOKUP($BX124,$E$294:$H$327,I$292,FALSE),"")</f>
        <v/>
      </c>
    </row>
    <row r="125" spans="1:85" ht="60.75" thickBot="1" x14ac:dyDescent="0.3">
      <c r="A125" s="96">
        <v>117</v>
      </c>
      <c r="D125" s="151"/>
      <c r="E125" s="152" t="s">
        <v>67</v>
      </c>
      <c r="F125" s="1241" t="str">
        <f>$F$9</f>
        <v>Office</v>
      </c>
      <c r="G125" s="1241" t="str">
        <f>$G$9</f>
        <v>Retail</v>
      </c>
      <c r="H125" s="1245" t="str">
        <f>$H$9</f>
        <v>Residential</v>
      </c>
      <c r="I125" s="1241" t="str">
        <f>$I$9</f>
        <v>Industrial</v>
      </c>
      <c r="J125" s="1243" t="str">
        <f>$J$9</f>
        <v>Healthcare</v>
      </c>
      <c r="K125" s="1243" t="str">
        <f>$K$9</f>
        <v>Prison</v>
      </c>
      <c r="L125" s="1243" t="str">
        <f>$L$9</f>
        <v>Law Court</v>
      </c>
      <c r="M125" s="1247" t="str">
        <f>$M$9</f>
        <v>Residential institution (long term stay)</v>
      </c>
      <c r="N125" s="918" t="str">
        <f>$N$9</f>
        <v>Residential institution (short term stay)</v>
      </c>
      <c r="O125" s="918" t="str">
        <f>$O$9</f>
        <v>Non-residential institution</v>
      </c>
      <c r="P125" s="918" t="str">
        <f>$P$9</f>
        <v>Assembly and leisure</v>
      </c>
      <c r="Q125" s="1243" t="str">
        <f>$Q$9</f>
        <v>Education</v>
      </c>
      <c r="R125" s="857" t="str">
        <f>$R$9</f>
        <v>Other</v>
      </c>
      <c r="T125" s="138" t="str">
        <f>$E$6</f>
        <v>Office</v>
      </c>
      <c r="U125" s="210"/>
      <c r="V125" s="211"/>
      <c r="W125" s="211"/>
      <c r="X125" s="211"/>
      <c r="Y125" s="1165" t="s">
        <v>411</v>
      </c>
      <c r="Z125" s="347" t="s">
        <v>334</v>
      </c>
      <c r="AA125" s="150" t="s">
        <v>213</v>
      </c>
      <c r="AB125" s="59" t="s">
        <v>15</v>
      </c>
      <c r="AI125" s="42"/>
      <c r="AJ125" s="60"/>
      <c r="AK125" s="60"/>
      <c r="AM125" s="139"/>
      <c r="AN125" s="139"/>
      <c r="AO125" s="139"/>
      <c r="AP125" s="139"/>
      <c r="AQ125" s="139"/>
      <c r="AR125" s="139"/>
      <c r="AS125" s="139"/>
      <c r="AT125" s="139"/>
      <c r="AU125" s="139"/>
      <c r="AV125" s="139"/>
      <c r="AW125" s="139"/>
      <c r="AY125" s="97"/>
      <c r="AZ125" s="97"/>
      <c r="BA125" s="97"/>
      <c r="BB125" s="97"/>
      <c r="BC125" s="97"/>
      <c r="BO125" s="60"/>
      <c r="BP125" s="60"/>
      <c r="BQ125" s="60"/>
      <c r="BR125" s="60"/>
      <c r="BS125" s="60"/>
      <c r="BT125" s="60"/>
      <c r="BW125" s="146"/>
      <c r="BX125" s="146" t="str">
        <f>E125</f>
        <v>Materials</v>
      </c>
      <c r="BY125" s="146">
        <f>IFERROR(VLOOKUP($E125,'Pre-Assessment Estimator'!$E$11:$AI$228,'Pre-Assessment Estimator'!AI$2,FALSE),"")</f>
        <v>0</v>
      </c>
      <c r="BZ125" s="146" t="str">
        <f t="shared" si="295"/>
        <v/>
      </c>
      <c r="CA125" s="146" t="str">
        <f t="shared" si="295"/>
        <v/>
      </c>
      <c r="CB125" s="146"/>
      <c r="CC125" s="96" t="str">
        <f>IFERROR(VLOOKUP($BX125,$E$294:$H$327,I$292,FALSE),"")</f>
        <v/>
      </c>
    </row>
    <row r="126" spans="1:85" x14ac:dyDescent="0.25">
      <c r="A126" s="96">
        <v>118</v>
      </c>
      <c r="B126" s="137" t="str">
        <f>D126</f>
        <v>Mat 01</v>
      </c>
      <c r="C126" s="137" t="str">
        <f>B126</f>
        <v>Mat 01</v>
      </c>
      <c r="D126" s="858" t="s">
        <v>172</v>
      </c>
      <c r="E126" s="859" t="s">
        <v>462</v>
      </c>
      <c r="F126" s="933">
        <f>SUM(F127:F129)</f>
        <v>5</v>
      </c>
      <c r="G126" s="933">
        <f t="shared" ref="G126:R126" si="296">SUM(G127:G129)</f>
        <v>5</v>
      </c>
      <c r="H126" s="933">
        <f t="shared" si="296"/>
        <v>5</v>
      </c>
      <c r="I126" s="933">
        <f t="shared" si="296"/>
        <v>5</v>
      </c>
      <c r="J126" s="933">
        <f t="shared" si="296"/>
        <v>5</v>
      </c>
      <c r="K126" s="933">
        <f t="shared" si="296"/>
        <v>5</v>
      </c>
      <c r="L126" s="933">
        <f t="shared" si="296"/>
        <v>5</v>
      </c>
      <c r="M126" s="933">
        <f t="shared" si="296"/>
        <v>5</v>
      </c>
      <c r="N126" s="933">
        <f t="shared" si="296"/>
        <v>5</v>
      </c>
      <c r="O126" s="933">
        <f t="shared" si="296"/>
        <v>5</v>
      </c>
      <c r="P126" s="933">
        <f t="shared" si="296"/>
        <v>5</v>
      </c>
      <c r="Q126" s="933">
        <f t="shared" ref="Q126" si="297">SUM(Q127:Q129)</f>
        <v>5</v>
      </c>
      <c r="R126" s="933">
        <f t="shared" si="296"/>
        <v>5</v>
      </c>
      <c r="T126" s="961">
        <f t="shared" ref="T126:T152" si="298">HLOOKUP($E$6,$F$9:$R$231,$A126,FALSE)</f>
        <v>5</v>
      </c>
      <c r="U126" s="222"/>
      <c r="V126" s="230"/>
      <c r="W126" s="230"/>
      <c r="X126" s="230">
        <f>'Manuell filtrering og justering'!E59</f>
        <v>0</v>
      </c>
      <c r="Y126" s="230"/>
      <c r="Z126" s="958">
        <f t="shared" ref="Z126" si="299">SUM(Z127:Z129)</f>
        <v>5</v>
      </c>
      <c r="AA126" s="963">
        <f t="shared" ref="AA126:AA151" si="300">IF(SUM(U126:Y126)&gt;T126,T126,SUM(U126:Y126))</f>
        <v>0</v>
      </c>
      <c r="AB126" s="1066">
        <f>SUM(AB127:AB129)</f>
        <v>5</v>
      </c>
      <c r="AD126" s="171">
        <f t="shared" ref="AD126:AD151" si="301">(Mat_Weight/Mat_Credits)*AB126</f>
        <v>4.0476190476190485E-2</v>
      </c>
      <c r="AE126" s="921">
        <f>SUM(AE127:AE129)</f>
        <v>0</v>
      </c>
      <c r="AF126" s="921">
        <f t="shared" ref="AF126" si="302">SUM(AF127:AF129)</f>
        <v>0</v>
      </c>
      <c r="AG126" s="921">
        <f t="shared" ref="AG126" si="303">SUM(AG127:AG129)</f>
        <v>0</v>
      </c>
      <c r="AI126" s="958">
        <f t="shared" ref="AI126" si="304">SUM(AI127:AI129)</f>
        <v>0</v>
      </c>
      <c r="AJ126" s="958">
        <f t="shared" ref="AJ126" si="305">SUM(AJ127:AJ129)</f>
        <v>0</v>
      </c>
      <c r="AK126" s="958">
        <f t="shared" ref="AK126" si="306">SUM(AK127:AK129)</f>
        <v>0</v>
      </c>
      <c r="AM126" s="298"/>
      <c r="AN126" s="299"/>
      <c r="AO126" s="299"/>
      <c r="AP126" s="299"/>
      <c r="AQ126" s="300"/>
      <c r="AR126" s="139"/>
      <c r="AS126" s="298"/>
      <c r="AT126" s="299"/>
      <c r="AU126" s="299"/>
      <c r="AV126" s="299"/>
      <c r="AW126" s="300"/>
      <c r="AY126" s="218"/>
      <c r="AZ126" s="219"/>
      <c r="BA126" s="219"/>
      <c r="BB126" s="219"/>
      <c r="BC126" s="716"/>
      <c r="BD126" s="174">
        <f t="shared" ref="BD126:BD129" si="307">IF(BC126=0,9,IF(AI126&gt;=BC126,5,IF(AI126&gt;=BB126,4,IF(AI126&gt;=BA126,3,IF(AI126&gt;=AZ126,2,IF(AI126&lt;AY126,0,1))))))</f>
        <v>9</v>
      </c>
      <c r="BE126" s="164" t="str">
        <f t="shared" ref="BE126:BE151" si="308">VLOOKUP(BD126,$BO$285:$BT$291,6,FALSE)</f>
        <v>N/A</v>
      </c>
      <c r="BF126" s="178"/>
      <c r="BG126" s="174">
        <f t="shared" ref="BG126:BG133" si="309">IF(BC126=0,9,IF(AJ126&gt;=BC126,5,IF(AJ126&gt;=BB126,4,IF(AJ126&gt;=BA126,3,IF(AJ126&gt;=AZ126,2,IF(AJ126&lt;AY126,0,1))))))</f>
        <v>9</v>
      </c>
      <c r="BH126" s="164" t="str">
        <f t="shared" ref="BH126:BH151" si="310">VLOOKUP(BG126,$BO$285:$BT$291,6,FALSE)</f>
        <v>N/A</v>
      </c>
      <c r="BI126" s="178"/>
      <c r="BJ126" s="174">
        <f t="shared" si="28"/>
        <v>9</v>
      </c>
      <c r="BK126" s="164" t="str">
        <f t="shared" ref="BK126:BK151" si="311">VLOOKUP(BJ126,$BO$285:$BT$291,6,FALSE)</f>
        <v>N/A</v>
      </c>
      <c r="BL126" s="178"/>
      <c r="BO126" s="167"/>
      <c r="BP126" s="167"/>
      <c r="BQ126" s="167" t="str">
        <f t="shared" si="157"/>
        <v/>
      </c>
      <c r="BR126" s="167">
        <f t="shared" si="198"/>
        <v>9</v>
      </c>
      <c r="BS126" s="167">
        <f t="shared" si="199"/>
        <v>9</v>
      </c>
      <c r="BT126" s="167">
        <f t="shared" si="200"/>
        <v>9</v>
      </c>
      <c r="BW126" s="164" t="str">
        <f>D126</f>
        <v>Mat 01</v>
      </c>
      <c r="BX126" s="164" t="str">
        <f>IFERROR(VLOOKUP($E126,'Pre-Assessment Estimator'!$E$11:$AB$228,'Pre-Assessment Estimator'!AB$2,FALSE),"")</f>
        <v>N/A</v>
      </c>
      <c r="BY126" s="164">
        <f>IFERROR(VLOOKUP($E126,'Pre-Assessment Estimator'!$E$11:$AI$228,'Pre-Assessment Estimator'!AI$2,FALSE),"")</f>
        <v>0</v>
      </c>
      <c r="BZ126" s="164">
        <f t="shared" si="295"/>
        <v>1</v>
      </c>
      <c r="CA126" s="164">
        <f t="shared" si="295"/>
        <v>0</v>
      </c>
      <c r="CB126" s="164"/>
      <c r="CC126" s="96" t="s">
        <v>429</v>
      </c>
    </row>
    <row r="127" spans="1:85" x14ac:dyDescent="0.25">
      <c r="A127" s="96">
        <v>119</v>
      </c>
      <c r="B127" s="137"/>
      <c r="C127" s="96" t="str">
        <f t="shared" si="159"/>
        <v>Mat 01</v>
      </c>
      <c r="D127" s="166" t="s">
        <v>692</v>
      </c>
      <c r="E127" s="940" t="s">
        <v>645</v>
      </c>
      <c r="F127" s="775"/>
      <c r="G127" s="775"/>
      <c r="H127" s="775"/>
      <c r="I127" s="775"/>
      <c r="J127" s="775"/>
      <c r="K127" s="775"/>
      <c r="L127" s="775"/>
      <c r="M127" s="775"/>
      <c r="N127" s="775"/>
      <c r="O127" s="775"/>
      <c r="P127" s="775"/>
      <c r="Q127" s="775"/>
      <c r="R127" s="775"/>
      <c r="T127" s="221">
        <f t="shared" si="298"/>
        <v>0</v>
      </c>
      <c r="U127" s="166"/>
      <c r="V127" s="167"/>
      <c r="W127" s="167"/>
      <c r="X127" s="167"/>
      <c r="Y127" s="168"/>
      <c r="Z127" s="168"/>
      <c r="AA127" s="169">
        <f t="shared" si="300"/>
        <v>0</v>
      </c>
      <c r="AB127" s="170">
        <f>IF($AC$5='Manuell filtrering og justering'!$J$2,Z127,(T127-AA127))</f>
        <v>0</v>
      </c>
      <c r="AD127" s="171">
        <f t="shared" si="301"/>
        <v>0</v>
      </c>
      <c r="AE127" s="171">
        <f t="shared" ref="AE127:AE151" si="312">IF(AB127=0,0,(AD127/AB127)*AI127)</f>
        <v>0</v>
      </c>
      <c r="AF127" s="171">
        <f t="shared" ref="AF127:AF151" si="313">IF(AB127=0,0,(AD127/AB127)*AJ127)</f>
        <v>0</v>
      </c>
      <c r="AG127" s="171">
        <f t="shared" ref="AG127:AG151" si="314">IF(AB127=0,0,(AD127/AB127)*AK127)</f>
        <v>0</v>
      </c>
      <c r="AI127" s="172">
        <f>IF(VLOOKUP(E127,'Pre-Assessment Estimator'!$E$11:$Z$228,'Pre-Assessment Estimator'!$G$2,FALSE)&gt;AB127,AB127,VLOOKUP(E127,'Pre-Assessment Estimator'!$E$11:$Z$228,'Pre-Assessment Estimator'!$G$2,FALSE))</f>
        <v>0</v>
      </c>
      <c r="AJ127" s="172">
        <f>IF(VLOOKUP(E127,'Pre-Assessment Estimator'!$E$11:$Z$228,'Pre-Assessment Estimator'!$N$2,FALSE)&gt;AB127,AB127,VLOOKUP(E127,'Pre-Assessment Estimator'!$E$11:$Z$228,'Pre-Assessment Estimator'!$N$2,FALSE))</f>
        <v>0</v>
      </c>
      <c r="AK127" s="172">
        <f>IF(VLOOKUP(E127,'Pre-Assessment Estimator'!$E$11:$Z$228,'Pre-Assessment Estimator'!$U$2,FALSE)&gt;AB127,AB127,VLOOKUP(E127,'Pre-Assessment Estimator'!$E$11:$Z$228,'Pre-Assessment Estimator'!$U$2,FALSE))</f>
        <v>0</v>
      </c>
      <c r="AM127" s="835"/>
      <c r="AN127" s="836"/>
      <c r="AO127" s="836"/>
      <c r="AP127" s="836"/>
      <c r="AQ127" s="837"/>
      <c r="AR127" s="139"/>
      <c r="AS127" s="835"/>
      <c r="AT127" s="836"/>
      <c r="AU127" s="836"/>
      <c r="AV127" s="836"/>
      <c r="AW127" s="837"/>
      <c r="AY127" s="708"/>
      <c r="AZ127" s="709"/>
      <c r="BA127" s="709"/>
      <c r="BB127" s="709"/>
      <c r="BC127" s="855"/>
      <c r="BD127" s="182">
        <f t="shared" si="307"/>
        <v>9</v>
      </c>
      <c r="BE127" s="164" t="str">
        <f t="shared" si="308"/>
        <v>N/A</v>
      </c>
      <c r="BF127" s="185"/>
      <c r="BG127" s="182">
        <f t="shared" ref="BG127:BG129" si="315">IF(BC127=0,9,IF(AJ127&gt;=BC127,5,IF(AJ127&gt;=BB127,4,IF(AJ127&gt;=BA127,3,IF(AJ127&gt;=AZ127,2,IF(AJ127&lt;AY127,0,1))))))</f>
        <v>9</v>
      </c>
      <c r="BH127" s="164" t="str">
        <f t="shared" si="310"/>
        <v>N/A</v>
      </c>
      <c r="BI127" s="185"/>
      <c r="BJ127" s="182">
        <f t="shared" si="28"/>
        <v>9</v>
      </c>
      <c r="BK127" s="164" t="str">
        <f t="shared" si="311"/>
        <v>N/A</v>
      </c>
      <c r="BL127" s="830"/>
      <c r="BO127" s="167"/>
      <c r="BP127" s="167"/>
      <c r="BQ127" s="167" t="str">
        <f t="shared" si="157"/>
        <v/>
      </c>
      <c r="BR127" s="167">
        <f t="shared" si="198"/>
        <v>9</v>
      </c>
      <c r="BS127" s="167">
        <f t="shared" si="199"/>
        <v>9</v>
      </c>
      <c r="BT127" s="167">
        <f t="shared" si="200"/>
        <v>9</v>
      </c>
      <c r="BW127" s="164"/>
      <c r="BX127" s="164"/>
      <c r="BY127" s="164"/>
      <c r="BZ127" s="164"/>
      <c r="CA127" s="164"/>
      <c r="CB127" s="164"/>
    </row>
    <row r="128" spans="1:85" x14ac:dyDescent="0.25">
      <c r="A128" s="96">
        <v>120</v>
      </c>
      <c r="B128" s="96" t="str">
        <f t="shared" ref="B128:B129" si="316">$D$126&amp;D128</f>
        <v>Mat 01b</v>
      </c>
      <c r="C128" s="96" t="str">
        <f t="shared" si="159"/>
        <v>Mat 01</v>
      </c>
      <c r="D128" s="166" t="s">
        <v>695</v>
      </c>
      <c r="E128" s="1123" t="s">
        <v>646</v>
      </c>
      <c r="F128" s="775">
        <v>3</v>
      </c>
      <c r="G128" s="775">
        <v>3</v>
      </c>
      <c r="H128" s="775">
        <v>3</v>
      </c>
      <c r="I128" s="775">
        <v>3</v>
      </c>
      <c r="J128" s="775">
        <v>3</v>
      </c>
      <c r="K128" s="775">
        <v>3</v>
      </c>
      <c r="L128" s="775">
        <v>3</v>
      </c>
      <c r="M128" s="775">
        <v>3</v>
      </c>
      <c r="N128" s="775">
        <v>3</v>
      </c>
      <c r="O128" s="775">
        <v>3</v>
      </c>
      <c r="P128" s="775">
        <v>3</v>
      </c>
      <c r="Q128" s="775">
        <v>3</v>
      </c>
      <c r="R128" s="775">
        <v>3</v>
      </c>
      <c r="T128" s="221">
        <f t="shared" si="298"/>
        <v>3</v>
      </c>
      <c r="U128" s="166"/>
      <c r="V128" s="167"/>
      <c r="W128" s="167"/>
      <c r="X128" s="167"/>
      <c r="Y128" s="168"/>
      <c r="Z128" s="168">
        <f>VLOOKUP(B128,'Manuell filtrering og justering'!$A$7:$H$253,'Manuell filtrering og justering'!$H$1,FALSE)</f>
        <v>3</v>
      </c>
      <c r="AA128" s="169">
        <f t="shared" si="300"/>
        <v>0</v>
      </c>
      <c r="AB128" s="170">
        <f>IF($AC$5='Manuell filtrering og justering'!$J$2,Z128,(T128-AA128))</f>
        <v>3</v>
      </c>
      <c r="AD128" s="171">
        <f t="shared" si="301"/>
        <v>2.4285714285714289E-2</v>
      </c>
      <c r="AE128" s="171">
        <f t="shared" si="312"/>
        <v>0</v>
      </c>
      <c r="AF128" s="171">
        <f t="shared" si="313"/>
        <v>0</v>
      </c>
      <c r="AG128" s="171">
        <f t="shared" si="314"/>
        <v>0</v>
      </c>
      <c r="AI128" s="172">
        <f>IF(VLOOKUP(E128,'Pre-Assessment Estimator'!$E$11:$Z$228,'Pre-Assessment Estimator'!$G$2,FALSE)&gt;AB128,AB128,VLOOKUP(E128,'Pre-Assessment Estimator'!$E$11:$Z$228,'Pre-Assessment Estimator'!$G$2,FALSE))</f>
        <v>0</v>
      </c>
      <c r="AJ128" s="172">
        <f>IF(VLOOKUP(E128,'Pre-Assessment Estimator'!$E$11:$Z$228,'Pre-Assessment Estimator'!$N$2,FALSE)&gt;AB128,AB128,VLOOKUP(E128,'Pre-Assessment Estimator'!$E$11:$Z$228,'Pre-Assessment Estimator'!$N$2,FALSE))</f>
        <v>0</v>
      </c>
      <c r="AK128" s="172">
        <f>IF(VLOOKUP(E128,'Pre-Assessment Estimator'!$E$11:$Z$228,'Pre-Assessment Estimator'!$U$2,FALSE)&gt;AB128,AB128,VLOOKUP(E128,'Pre-Assessment Estimator'!$E$11:$Z$228,'Pre-Assessment Estimator'!$U$2,FALSE))</f>
        <v>0</v>
      </c>
      <c r="AM128" s="835"/>
      <c r="AN128" s="836"/>
      <c r="AO128" s="836">
        <v>1</v>
      </c>
      <c r="AP128" s="836">
        <v>1</v>
      </c>
      <c r="AQ128" s="837">
        <v>2</v>
      </c>
      <c r="AR128" s="139"/>
      <c r="AS128" s="835"/>
      <c r="AT128" s="836"/>
      <c r="AU128" s="836">
        <v>1</v>
      </c>
      <c r="AV128" s="836">
        <v>1</v>
      </c>
      <c r="AW128" s="837">
        <v>2</v>
      </c>
      <c r="AY128" s="708"/>
      <c r="AZ128" s="709"/>
      <c r="BA128" s="183">
        <f>IF($AB128=0,0,IF($E$6=$H$9,AU128,AO128))</f>
        <v>1</v>
      </c>
      <c r="BB128" s="183">
        <f>IF($AB128=0,0,IF($E$6=$H$9,AV128,AP128))</f>
        <v>1</v>
      </c>
      <c r="BC128" s="183">
        <f>IF($AB128=0,0,IF($E$6=$H$9,AW128,AQ128))</f>
        <v>2</v>
      </c>
      <c r="BD128" s="182">
        <f t="shared" si="307"/>
        <v>2</v>
      </c>
      <c r="BE128" s="164" t="str">
        <f t="shared" si="308"/>
        <v>Good</v>
      </c>
      <c r="BF128" s="185"/>
      <c r="BG128" s="182">
        <f t="shared" si="315"/>
        <v>2</v>
      </c>
      <c r="BH128" s="164" t="str">
        <f t="shared" si="310"/>
        <v>Good</v>
      </c>
      <c r="BI128" s="185"/>
      <c r="BJ128" s="182">
        <f t="shared" si="28"/>
        <v>2</v>
      </c>
      <c r="BK128" s="164" t="str">
        <f t="shared" si="311"/>
        <v>Good</v>
      </c>
      <c r="BL128" s="830"/>
      <c r="BO128" s="167"/>
      <c r="BP128" s="167"/>
      <c r="BQ128" s="167" t="str">
        <f t="shared" si="157"/>
        <v/>
      </c>
      <c r="BR128" s="167">
        <f t="shared" si="198"/>
        <v>9</v>
      </c>
      <c r="BS128" s="167">
        <f t="shared" si="199"/>
        <v>9</v>
      </c>
      <c r="BT128" s="167">
        <f t="shared" si="200"/>
        <v>9</v>
      </c>
      <c r="BW128" s="164"/>
      <c r="BX128" s="164"/>
      <c r="BY128" s="164"/>
      <c r="BZ128" s="164"/>
      <c r="CA128" s="164"/>
      <c r="CB128" s="164"/>
    </row>
    <row r="129" spans="1:85" x14ac:dyDescent="0.25">
      <c r="A129" s="96">
        <v>121</v>
      </c>
      <c r="B129" s="96" t="str">
        <f t="shared" si="316"/>
        <v>Mat 01c</v>
      </c>
      <c r="C129" s="96" t="str">
        <f t="shared" si="159"/>
        <v>Mat 01</v>
      </c>
      <c r="D129" s="188" t="s">
        <v>696</v>
      </c>
      <c r="E129" s="1123" t="s">
        <v>647</v>
      </c>
      <c r="F129" s="775">
        <v>2</v>
      </c>
      <c r="G129" s="775">
        <v>2</v>
      </c>
      <c r="H129" s="775">
        <v>2</v>
      </c>
      <c r="I129" s="775">
        <v>2</v>
      </c>
      <c r="J129" s="775">
        <v>2</v>
      </c>
      <c r="K129" s="775">
        <v>2</v>
      </c>
      <c r="L129" s="775">
        <v>2</v>
      </c>
      <c r="M129" s="775">
        <v>2</v>
      </c>
      <c r="N129" s="775">
        <v>2</v>
      </c>
      <c r="O129" s="775">
        <v>2</v>
      </c>
      <c r="P129" s="775">
        <v>2</v>
      </c>
      <c r="Q129" s="775">
        <v>2</v>
      </c>
      <c r="R129" s="775">
        <v>2</v>
      </c>
      <c r="T129" s="221">
        <f t="shared" si="298"/>
        <v>2</v>
      </c>
      <c r="U129" s="166"/>
      <c r="V129" s="167"/>
      <c r="W129" s="167"/>
      <c r="X129" s="167"/>
      <c r="Y129" s="168"/>
      <c r="Z129" s="168">
        <f>VLOOKUP(B129,'Manuell filtrering og justering'!$A$7:$H$253,'Manuell filtrering og justering'!$H$1,FALSE)</f>
        <v>2</v>
      </c>
      <c r="AA129" s="169">
        <f t="shared" si="300"/>
        <v>0</v>
      </c>
      <c r="AB129" s="170">
        <f>IF($AC$5='Manuell filtrering og justering'!$J$2,Z129,(T129-AA129))</f>
        <v>2</v>
      </c>
      <c r="AD129" s="171">
        <f t="shared" si="301"/>
        <v>1.6190476190476193E-2</v>
      </c>
      <c r="AE129" s="171">
        <f t="shared" si="312"/>
        <v>0</v>
      </c>
      <c r="AF129" s="171">
        <f t="shared" si="313"/>
        <v>0</v>
      </c>
      <c r="AG129" s="171">
        <f t="shared" si="314"/>
        <v>0</v>
      </c>
      <c r="AI129" s="172">
        <f>IF(VLOOKUP(E129,'Pre-Assessment Estimator'!$E$11:$Z$228,'Pre-Assessment Estimator'!$G$2,FALSE)&gt;AB129,AB129,VLOOKUP(E129,'Pre-Assessment Estimator'!$E$11:$Z$228,'Pre-Assessment Estimator'!$G$2,FALSE))</f>
        <v>0</v>
      </c>
      <c r="AJ129" s="172">
        <f>IF(VLOOKUP(E129,'Pre-Assessment Estimator'!$E$11:$Z$228,'Pre-Assessment Estimator'!$N$2,FALSE)&gt;AB129,AB129,VLOOKUP(E129,'Pre-Assessment Estimator'!$E$11:$Z$228,'Pre-Assessment Estimator'!$N$2,FALSE))</f>
        <v>0</v>
      </c>
      <c r="AK129" s="172">
        <f>IF(VLOOKUP(E129,'Pre-Assessment Estimator'!$E$11:$Z$228,'Pre-Assessment Estimator'!$U$2,FALSE)&gt;AB129,AB129,VLOOKUP(E129,'Pre-Assessment Estimator'!$E$11:$Z$228,'Pre-Assessment Estimator'!$U$2,FALSE))</f>
        <v>0</v>
      </c>
      <c r="AM129" s="835"/>
      <c r="AN129" s="836"/>
      <c r="AO129" s="836"/>
      <c r="AP129" s="836"/>
      <c r="AQ129" s="837"/>
      <c r="AR129" s="139"/>
      <c r="AS129" s="835"/>
      <c r="AT129" s="836"/>
      <c r="AU129" s="836"/>
      <c r="AV129" s="836"/>
      <c r="AW129" s="837"/>
      <c r="AY129" s="708"/>
      <c r="AZ129" s="709"/>
      <c r="BA129" s="709"/>
      <c r="BB129" s="709"/>
      <c r="BC129" s="855"/>
      <c r="BD129" s="182">
        <f t="shared" si="307"/>
        <v>9</v>
      </c>
      <c r="BE129" s="164" t="str">
        <f t="shared" si="308"/>
        <v>N/A</v>
      </c>
      <c r="BF129" s="185"/>
      <c r="BG129" s="182">
        <f t="shared" si="315"/>
        <v>9</v>
      </c>
      <c r="BH129" s="164" t="str">
        <f t="shared" si="310"/>
        <v>N/A</v>
      </c>
      <c r="BI129" s="185"/>
      <c r="BJ129" s="182">
        <f t="shared" si="28"/>
        <v>9</v>
      </c>
      <c r="BK129" s="164" t="str">
        <f t="shared" si="311"/>
        <v>N/A</v>
      </c>
      <c r="BL129" s="830"/>
      <c r="BO129" s="167"/>
      <c r="BP129" s="167"/>
      <c r="BQ129" s="167" t="str">
        <f t="shared" si="157"/>
        <v/>
      </c>
      <c r="BR129" s="167">
        <f t="shared" si="198"/>
        <v>9</v>
      </c>
      <c r="BS129" s="167">
        <f t="shared" si="199"/>
        <v>9</v>
      </c>
      <c r="BT129" s="167">
        <f t="shared" si="200"/>
        <v>9</v>
      </c>
      <c r="BW129" s="164"/>
      <c r="BX129" s="164"/>
      <c r="BY129" s="164"/>
      <c r="BZ129" s="164"/>
      <c r="CA129" s="164"/>
      <c r="CB129" s="164"/>
    </row>
    <row r="130" spans="1:85" x14ac:dyDescent="0.25">
      <c r="A130" s="96">
        <v>122</v>
      </c>
      <c r="B130" s="137" t="str">
        <f>D130</f>
        <v>Mat 02</v>
      </c>
      <c r="C130" s="137" t="str">
        <f>B130</f>
        <v>Mat 02</v>
      </c>
      <c r="D130" s="946" t="s">
        <v>477</v>
      </c>
      <c r="E130" s="832" t="s">
        <v>956</v>
      </c>
      <c r="F130" s="933">
        <f>SUM(F131:F133)</f>
        <v>3</v>
      </c>
      <c r="G130" s="933">
        <f t="shared" ref="G130:R130" si="317">SUM(G131:G133)</f>
        <v>3</v>
      </c>
      <c r="H130" s="933">
        <f t="shared" si="317"/>
        <v>3</v>
      </c>
      <c r="I130" s="933">
        <f t="shared" si="317"/>
        <v>3</v>
      </c>
      <c r="J130" s="933">
        <f t="shared" si="317"/>
        <v>3</v>
      </c>
      <c r="K130" s="933">
        <f t="shared" si="317"/>
        <v>3</v>
      </c>
      <c r="L130" s="933">
        <f t="shared" si="317"/>
        <v>3</v>
      </c>
      <c r="M130" s="933">
        <f t="shared" si="317"/>
        <v>3</v>
      </c>
      <c r="N130" s="933">
        <f t="shared" si="317"/>
        <v>3</v>
      </c>
      <c r="O130" s="933">
        <f t="shared" si="317"/>
        <v>3</v>
      </c>
      <c r="P130" s="933">
        <f t="shared" si="317"/>
        <v>3</v>
      </c>
      <c r="Q130" s="933">
        <f t="shared" ref="Q130" si="318">SUM(Q131:Q133)</f>
        <v>3</v>
      </c>
      <c r="R130" s="933">
        <f t="shared" si="317"/>
        <v>3</v>
      </c>
      <c r="T130" s="963">
        <f t="shared" si="298"/>
        <v>3</v>
      </c>
      <c r="U130" s="222"/>
      <c r="V130" s="230"/>
      <c r="W130" s="230"/>
      <c r="X130" s="230">
        <f>'Manuell filtrering og justering'!E60</f>
        <v>0</v>
      </c>
      <c r="Y130" s="230"/>
      <c r="Z130" s="958">
        <f t="shared" ref="Z130" si="319">SUM(Z131:Z133)</f>
        <v>3</v>
      </c>
      <c r="AA130" s="963">
        <f t="shared" si="300"/>
        <v>0</v>
      </c>
      <c r="AB130" s="1066">
        <f>SUM(AB131:AB133)</f>
        <v>3</v>
      </c>
      <c r="AD130" s="171">
        <f t="shared" si="301"/>
        <v>2.4285714285714289E-2</v>
      </c>
      <c r="AE130" s="921">
        <f>SUM(AE131:AE133)</f>
        <v>0</v>
      </c>
      <c r="AF130" s="921">
        <f t="shared" ref="AF130" si="320">SUM(AF131:AF133)</f>
        <v>0</v>
      </c>
      <c r="AG130" s="921">
        <f t="shared" ref="AG130" si="321">SUM(AG131:AG133)</f>
        <v>0</v>
      </c>
      <c r="AI130" s="958">
        <f t="shared" ref="AI130" si="322">SUM(AI131:AI133)</f>
        <v>0</v>
      </c>
      <c r="AJ130" s="958">
        <f t="shared" ref="AJ130" si="323">SUM(AJ131:AJ133)</f>
        <v>0</v>
      </c>
      <c r="AK130" s="958">
        <f t="shared" ref="AK130" si="324">SUM(AK131:AK133)</f>
        <v>0</v>
      </c>
      <c r="AM130" s="292"/>
      <c r="AN130" s="293"/>
      <c r="AO130" s="293"/>
      <c r="AP130" s="293"/>
      <c r="AQ130" s="294"/>
      <c r="AR130" s="139"/>
      <c r="AS130" s="292"/>
      <c r="AT130" s="293"/>
      <c r="AU130" s="293"/>
      <c r="AV130" s="293"/>
      <c r="AW130" s="294"/>
      <c r="AY130" s="708"/>
      <c r="AZ130" s="709"/>
      <c r="BA130" s="709"/>
      <c r="BB130" s="709"/>
      <c r="BC130" s="717"/>
      <c r="BD130" s="182">
        <f t="shared" ref="BD130:BD133" si="325">IF(BC130=0,9,IF(AI130&gt;=BC130,5,IF(AI130&gt;=BB130,4,IF(AI130&gt;=BA130,3,IF(AI130&gt;=AZ130,2,IF(AI130&lt;AY130,0,1))))))</f>
        <v>9</v>
      </c>
      <c r="BE130" s="164" t="str">
        <f t="shared" si="308"/>
        <v>N/A</v>
      </c>
      <c r="BF130" s="185"/>
      <c r="BG130" s="182">
        <f t="shared" si="309"/>
        <v>9</v>
      </c>
      <c r="BH130" s="164" t="str">
        <f t="shared" si="310"/>
        <v>N/A</v>
      </c>
      <c r="BI130" s="185"/>
      <c r="BJ130" s="182">
        <f t="shared" ref="BJ130:BJ133" si="326">IF(BC130=0,9,IF(AK130&gt;=BC130,5,IF(AK130&gt;=BB130,4,IF(AK130&gt;=BA130,3,IF(AK130&gt;=AZ130,2,IF(AK130&lt;AY130,0,1))))))</f>
        <v>9</v>
      </c>
      <c r="BK130" s="164" t="str">
        <f t="shared" si="311"/>
        <v>N/A</v>
      </c>
      <c r="BL130" s="185"/>
      <c r="BO130" s="167"/>
      <c r="BP130" s="167"/>
      <c r="BQ130" s="167" t="str">
        <f t="shared" si="157"/>
        <v/>
      </c>
      <c r="BR130" s="167">
        <f t="shared" si="198"/>
        <v>9</v>
      </c>
      <c r="BS130" s="167">
        <f t="shared" si="199"/>
        <v>9</v>
      </c>
      <c r="BT130" s="167">
        <f t="shared" si="200"/>
        <v>9</v>
      </c>
      <c r="BW130" s="164"/>
      <c r="BX130" s="164"/>
      <c r="BY130" s="164"/>
      <c r="BZ130" s="164"/>
      <c r="CA130" s="164"/>
      <c r="CB130" s="164"/>
    </row>
    <row r="131" spans="1:85" x14ac:dyDescent="0.25">
      <c r="A131" s="96">
        <v>123</v>
      </c>
      <c r="B131" s="137"/>
      <c r="C131" s="96" t="str">
        <f t="shared" si="159"/>
        <v>Mat 02</v>
      </c>
      <c r="D131" s="188" t="s">
        <v>692</v>
      </c>
      <c r="E131" s="940" t="str">
        <f>Ene01_Crit1</f>
        <v>Minimum req: absence of environmental toxins (EU taxonomy requirement: criterion 1)</v>
      </c>
      <c r="F131" s="775"/>
      <c r="G131" s="775"/>
      <c r="H131" s="775"/>
      <c r="I131" s="775"/>
      <c r="J131" s="775"/>
      <c r="K131" s="775"/>
      <c r="L131" s="775"/>
      <c r="M131" s="775"/>
      <c r="N131" s="775"/>
      <c r="O131" s="775"/>
      <c r="P131" s="775"/>
      <c r="Q131" s="775"/>
      <c r="R131" s="775"/>
      <c r="T131" s="221">
        <f t="shared" si="298"/>
        <v>0</v>
      </c>
      <c r="U131" s="166"/>
      <c r="V131" s="167"/>
      <c r="W131" s="167"/>
      <c r="X131" s="167"/>
      <c r="Y131" s="168"/>
      <c r="Z131" s="168"/>
      <c r="AA131" s="169">
        <f t="shared" si="300"/>
        <v>0</v>
      </c>
      <c r="AB131" s="170">
        <f>IF($AC$5='Manuell filtrering og justering'!$J$2,Z131,(T131-AA131))</f>
        <v>0</v>
      </c>
      <c r="AD131" s="171">
        <f t="shared" si="301"/>
        <v>0</v>
      </c>
      <c r="AE131" s="171">
        <f t="shared" si="312"/>
        <v>0</v>
      </c>
      <c r="AF131" s="171">
        <f t="shared" si="313"/>
        <v>0</v>
      </c>
      <c r="AG131" s="171">
        <f t="shared" si="314"/>
        <v>0</v>
      </c>
      <c r="AI131" s="172">
        <f>IF(VLOOKUP(E131,'Pre-Assessment Estimator'!$E$11:$Z$228,'Pre-Assessment Estimator'!$G$2,FALSE)&gt;AB131,AB131,VLOOKUP(E131,'Pre-Assessment Estimator'!$E$11:$Z$228,'Pre-Assessment Estimator'!$G$2,FALSE))</f>
        <v>0</v>
      </c>
      <c r="AJ131" s="172">
        <f>IF(VLOOKUP(E131,'Pre-Assessment Estimator'!$E$11:$Z$228,'Pre-Assessment Estimator'!$N$2,FALSE)&gt;AB131,AB131,VLOOKUP(E131,'Pre-Assessment Estimator'!$E$11:$Z$228,'Pre-Assessment Estimator'!$N$2,FALSE))</f>
        <v>0</v>
      </c>
      <c r="AK131" s="172">
        <f>IF(VLOOKUP(E131,'Pre-Assessment Estimator'!$E$11:$Z$228,'Pre-Assessment Estimator'!$U$2,FALSE)&gt;AB131,AB131,VLOOKUP(E131,'Pre-Assessment Estimator'!$E$11:$Z$228,'Pre-Assessment Estimator'!$U$2,FALSE))</f>
        <v>0</v>
      </c>
      <c r="AM131" s="292"/>
      <c r="AN131" s="293"/>
      <c r="AO131" s="293"/>
      <c r="AP131" s="293"/>
      <c r="AQ131" s="294"/>
      <c r="AR131" s="139"/>
      <c r="AS131" s="292"/>
      <c r="AT131" s="293"/>
      <c r="AU131" s="293"/>
      <c r="AV131" s="293"/>
      <c r="AW131" s="294"/>
      <c r="AY131" s="708"/>
      <c r="AZ131" s="709"/>
      <c r="BA131" s="709"/>
      <c r="BB131" s="709"/>
      <c r="BC131" s="717"/>
      <c r="BD131" s="182">
        <f t="shared" si="325"/>
        <v>9</v>
      </c>
      <c r="BE131" s="164" t="str">
        <f t="shared" si="308"/>
        <v>N/A</v>
      </c>
      <c r="BF131" s="185"/>
      <c r="BG131" s="182">
        <f t="shared" si="309"/>
        <v>9</v>
      </c>
      <c r="BH131" s="164" t="str">
        <f t="shared" si="310"/>
        <v>N/A</v>
      </c>
      <c r="BI131" s="185"/>
      <c r="BJ131" s="182">
        <f t="shared" si="326"/>
        <v>9</v>
      </c>
      <c r="BK131" s="164" t="str">
        <f t="shared" si="311"/>
        <v>N/A</v>
      </c>
      <c r="BL131" s="185"/>
      <c r="BO131" s="167"/>
      <c r="BP131" s="167"/>
      <c r="BQ131" s="167" t="str">
        <f t="shared" si="157"/>
        <v/>
      </c>
      <c r="BR131" s="167">
        <f t="shared" si="198"/>
        <v>9</v>
      </c>
      <c r="BS131" s="167">
        <f t="shared" si="199"/>
        <v>9</v>
      </c>
      <c r="BT131" s="167">
        <f t="shared" si="200"/>
        <v>9</v>
      </c>
      <c r="BW131" s="164"/>
      <c r="BX131" s="164"/>
      <c r="BY131" s="164"/>
      <c r="BZ131" s="164"/>
      <c r="CA131" s="164"/>
      <c r="CB131" s="164"/>
    </row>
    <row r="132" spans="1:85" x14ac:dyDescent="0.25">
      <c r="A132" s="96">
        <v>124</v>
      </c>
      <c r="B132" s="96" t="str">
        <f t="shared" ref="B132:B133" si="327">$D$130&amp;D132</f>
        <v>Mat 02b</v>
      </c>
      <c r="C132" s="96" t="str">
        <f t="shared" si="159"/>
        <v>Mat 02</v>
      </c>
      <c r="D132" s="188" t="s">
        <v>695</v>
      </c>
      <c r="E132" s="1123" t="s">
        <v>649</v>
      </c>
      <c r="F132" s="775">
        <v>1</v>
      </c>
      <c r="G132" s="775">
        <v>1</v>
      </c>
      <c r="H132" s="775">
        <v>1</v>
      </c>
      <c r="I132" s="775">
        <v>1</v>
      </c>
      <c r="J132" s="775">
        <v>1</v>
      </c>
      <c r="K132" s="775">
        <v>1</v>
      </c>
      <c r="L132" s="775">
        <v>1</v>
      </c>
      <c r="M132" s="775">
        <v>1</v>
      </c>
      <c r="N132" s="775">
        <v>1</v>
      </c>
      <c r="O132" s="775">
        <v>1</v>
      </c>
      <c r="P132" s="775">
        <v>1</v>
      </c>
      <c r="Q132" s="775">
        <v>1</v>
      </c>
      <c r="R132" s="775">
        <v>1</v>
      </c>
      <c r="T132" s="221">
        <f t="shared" si="298"/>
        <v>1</v>
      </c>
      <c r="U132" s="166"/>
      <c r="V132" s="167"/>
      <c r="W132" s="167"/>
      <c r="X132" s="167"/>
      <c r="Y132" s="168"/>
      <c r="Z132" s="168">
        <f>VLOOKUP(B132,'Manuell filtrering og justering'!$A$7:$H$253,'Manuell filtrering og justering'!$H$1,FALSE)</f>
        <v>1</v>
      </c>
      <c r="AA132" s="169">
        <f t="shared" si="300"/>
        <v>0</v>
      </c>
      <c r="AB132" s="170">
        <f>IF($AC$5='Manuell filtrering og justering'!$J$2,Z132,(T132-AA132))</f>
        <v>1</v>
      </c>
      <c r="AD132" s="171">
        <f t="shared" si="301"/>
        <v>8.0952380952380963E-3</v>
      </c>
      <c r="AE132" s="171">
        <f t="shared" si="312"/>
        <v>0</v>
      </c>
      <c r="AF132" s="171">
        <f t="shared" si="313"/>
        <v>0</v>
      </c>
      <c r="AG132" s="171">
        <f t="shared" si="314"/>
        <v>0</v>
      </c>
      <c r="AI132" s="172">
        <f>IF(VLOOKUP(E132,'Pre-Assessment Estimator'!$E$11:$Z$228,'Pre-Assessment Estimator'!$G$2,FALSE)&gt;AB132,AB132,VLOOKUP(E132,'Pre-Assessment Estimator'!$E$11:$Z$228,'Pre-Assessment Estimator'!$G$2,FALSE))</f>
        <v>0</v>
      </c>
      <c r="AJ132" s="172">
        <f>IF(VLOOKUP(E132,'Pre-Assessment Estimator'!$E$11:$Z$228,'Pre-Assessment Estimator'!$N$2,FALSE)&gt;AB132,AB132,VLOOKUP(E132,'Pre-Assessment Estimator'!$E$11:$Z$228,'Pre-Assessment Estimator'!$N$2,FALSE))</f>
        <v>0</v>
      </c>
      <c r="AK132" s="172">
        <f>IF(VLOOKUP(E132,'Pre-Assessment Estimator'!$E$11:$Z$228,'Pre-Assessment Estimator'!$U$2,FALSE)&gt;AB132,AB132,VLOOKUP(E132,'Pre-Assessment Estimator'!$E$11:$Z$228,'Pre-Assessment Estimator'!$U$2,FALSE))</f>
        <v>0</v>
      </c>
      <c r="AM132" s="292"/>
      <c r="AN132" s="293"/>
      <c r="AO132" s="293"/>
      <c r="AP132" s="293"/>
      <c r="AQ132" s="294"/>
      <c r="AR132" s="139"/>
      <c r="AS132" s="292"/>
      <c r="AT132" s="293"/>
      <c r="AU132" s="293"/>
      <c r="AV132" s="293"/>
      <c r="AW132" s="294"/>
      <c r="AY132" s="708"/>
      <c r="AZ132" s="709"/>
      <c r="BA132" s="709"/>
      <c r="BB132" s="709"/>
      <c r="BC132" s="717"/>
      <c r="BD132" s="182">
        <f t="shared" si="325"/>
        <v>9</v>
      </c>
      <c r="BE132" s="164" t="str">
        <f t="shared" si="308"/>
        <v>N/A</v>
      </c>
      <c r="BF132" s="185"/>
      <c r="BG132" s="182">
        <f t="shared" si="309"/>
        <v>9</v>
      </c>
      <c r="BH132" s="164" t="str">
        <f t="shared" si="310"/>
        <v>N/A</v>
      </c>
      <c r="BI132" s="185"/>
      <c r="BJ132" s="182">
        <f t="shared" si="326"/>
        <v>9</v>
      </c>
      <c r="BK132" s="164" t="str">
        <f t="shared" si="311"/>
        <v>N/A</v>
      </c>
      <c r="BL132" s="185"/>
      <c r="BO132" s="167"/>
      <c r="BP132" s="167"/>
      <c r="BQ132" s="167" t="str">
        <f t="shared" si="157"/>
        <v/>
      </c>
      <c r="BR132" s="167">
        <f t="shared" si="198"/>
        <v>9</v>
      </c>
      <c r="BS132" s="167">
        <f t="shared" si="199"/>
        <v>9</v>
      </c>
      <c r="BT132" s="167">
        <f t="shared" si="200"/>
        <v>9</v>
      </c>
      <c r="BW132" s="164"/>
      <c r="BX132" s="164"/>
      <c r="BY132" s="164"/>
      <c r="BZ132" s="164"/>
      <c r="CA132" s="164"/>
      <c r="CB132" s="164"/>
    </row>
    <row r="133" spans="1:85" x14ac:dyDescent="0.25">
      <c r="A133" s="96">
        <v>125</v>
      </c>
      <c r="B133" s="96" t="str">
        <f t="shared" si="327"/>
        <v>Mat 02c</v>
      </c>
      <c r="C133" s="96" t="str">
        <f t="shared" si="159"/>
        <v>Mat 02</v>
      </c>
      <c r="D133" s="188" t="s">
        <v>696</v>
      </c>
      <c r="E133" s="1123" t="s">
        <v>650</v>
      </c>
      <c r="F133" s="775">
        <v>2</v>
      </c>
      <c r="G133" s="775">
        <v>2</v>
      </c>
      <c r="H133" s="775">
        <v>2</v>
      </c>
      <c r="I133" s="775">
        <v>2</v>
      </c>
      <c r="J133" s="775">
        <v>2</v>
      </c>
      <c r="K133" s="775">
        <v>2</v>
      </c>
      <c r="L133" s="775">
        <v>2</v>
      </c>
      <c r="M133" s="775">
        <v>2</v>
      </c>
      <c r="N133" s="775">
        <v>2</v>
      </c>
      <c r="O133" s="775">
        <v>2</v>
      </c>
      <c r="P133" s="775">
        <v>2</v>
      </c>
      <c r="Q133" s="775">
        <v>2</v>
      </c>
      <c r="R133" s="775">
        <v>2</v>
      </c>
      <c r="T133" s="221">
        <f t="shared" si="298"/>
        <v>2</v>
      </c>
      <c r="U133" s="166"/>
      <c r="V133" s="167"/>
      <c r="W133" s="167"/>
      <c r="X133" s="167"/>
      <c r="Y133" s="168"/>
      <c r="Z133" s="168">
        <f>VLOOKUP(B133,'Manuell filtrering og justering'!$A$7:$H$253,'Manuell filtrering og justering'!$H$1,FALSE)</f>
        <v>2</v>
      </c>
      <c r="AA133" s="169">
        <f t="shared" si="300"/>
        <v>0</v>
      </c>
      <c r="AB133" s="170">
        <f>IF($AC$5='Manuell filtrering og justering'!$J$2,Z133,(T133-AA133))</f>
        <v>2</v>
      </c>
      <c r="AD133" s="171">
        <f t="shared" si="301"/>
        <v>1.6190476190476193E-2</v>
      </c>
      <c r="AE133" s="171">
        <f t="shared" si="312"/>
        <v>0</v>
      </c>
      <c r="AF133" s="171">
        <f t="shared" si="313"/>
        <v>0</v>
      </c>
      <c r="AG133" s="171">
        <f t="shared" si="314"/>
        <v>0</v>
      </c>
      <c r="AI133" s="172">
        <f>IF(VLOOKUP(E133,'Pre-Assessment Estimator'!$E$11:$Z$228,'Pre-Assessment Estimator'!$G$2,FALSE)&gt;AB133,AB133,VLOOKUP(E133,'Pre-Assessment Estimator'!$E$11:$Z$228,'Pre-Assessment Estimator'!$G$2,FALSE))</f>
        <v>0</v>
      </c>
      <c r="AJ133" s="172">
        <f>IF(VLOOKUP(E133,'Pre-Assessment Estimator'!$E$11:$Z$228,'Pre-Assessment Estimator'!$N$2,FALSE)&gt;AB133,AB133,VLOOKUP(E133,'Pre-Assessment Estimator'!$E$11:$Z$228,'Pre-Assessment Estimator'!$N$2,FALSE))</f>
        <v>0</v>
      </c>
      <c r="AK133" s="172">
        <f>IF(VLOOKUP(E133,'Pre-Assessment Estimator'!$E$11:$Z$228,'Pre-Assessment Estimator'!$U$2,FALSE)&gt;AB133,AB133,VLOOKUP(E133,'Pre-Assessment Estimator'!$E$11:$Z$228,'Pre-Assessment Estimator'!$U$2,FALSE))</f>
        <v>0</v>
      </c>
      <c r="AM133" s="292"/>
      <c r="AN133" s="293"/>
      <c r="AO133" s="293"/>
      <c r="AP133" s="293"/>
      <c r="AQ133" s="294"/>
      <c r="AR133" s="139"/>
      <c r="AS133" s="292"/>
      <c r="AT133" s="293"/>
      <c r="AU133" s="293"/>
      <c r="AV133" s="293"/>
      <c r="AW133" s="294"/>
      <c r="AY133" s="708"/>
      <c r="AZ133" s="709"/>
      <c r="BA133" s="709"/>
      <c r="BB133" s="709"/>
      <c r="BC133" s="717"/>
      <c r="BD133" s="182">
        <f t="shared" si="325"/>
        <v>9</v>
      </c>
      <c r="BE133" s="164" t="str">
        <f t="shared" si="308"/>
        <v>N/A</v>
      </c>
      <c r="BF133" s="185"/>
      <c r="BG133" s="182">
        <f t="shared" si="309"/>
        <v>9</v>
      </c>
      <c r="BH133" s="164" t="str">
        <f t="shared" si="310"/>
        <v>N/A</v>
      </c>
      <c r="BI133" s="185"/>
      <c r="BJ133" s="182">
        <f t="shared" si="326"/>
        <v>9</v>
      </c>
      <c r="BK133" s="164" t="str">
        <f t="shared" si="311"/>
        <v>N/A</v>
      </c>
      <c r="BL133" s="185"/>
      <c r="BO133" s="167"/>
      <c r="BP133" s="167"/>
      <c r="BQ133" s="167" t="str">
        <f t="shared" si="157"/>
        <v/>
      </c>
      <c r="BR133" s="167">
        <f t="shared" si="198"/>
        <v>9</v>
      </c>
      <c r="BS133" s="167">
        <f t="shared" si="199"/>
        <v>9</v>
      </c>
      <c r="BT133" s="167">
        <f t="shared" si="200"/>
        <v>9</v>
      </c>
      <c r="BW133" s="164"/>
      <c r="BX133" s="164"/>
      <c r="BY133" s="164"/>
      <c r="BZ133" s="164"/>
      <c r="CA133" s="164"/>
      <c r="CB133" s="164"/>
    </row>
    <row r="134" spans="1:85" x14ac:dyDescent="0.25">
      <c r="A134" s="96">
        <v>126</v>
      </c>
      <c r="B134" s="137" t="str">
        <f>D134</f>
        <v>Mat 03</v>
      </c>
      <c r="C134" s="137" t="str">
        <f>B134</f>
        <v>Mat 03</v>
      </c>
      <c r="D134" s="946" t="s">
        <v>173</v>
      </c>
      <c r="E134" s="832" t="s">
        <v>464</v>
      </c>
      <c r="F134" s="933">
        <f>SUM(F135:F137)</f>
        <v>3</v>
      </c>
      <c r="G134" s="933">
        <f t="shared" ref="G134:R134" si="328">SUM(G135:G137)</f>
        <v>3</v>
      </c>
      <c r="H134" s="933">
        <f t="shared" si="328"/>
        <v>3</v>
      </c>
      <c r="I134" s="933">
        <f t="shared" si="328"/>
        <v>3</v>
      </c>
      <c r="J134" s="933">
        <f t="shared" si="328"/>
        <v>3</v>
      </c>
      <c r="K134" s="933">
        <f t="shared" si="328"/>
        <v>3</v>
      </c>
      <c r="L134" s="933">
        <f t="shared" si="328"/>
        <v>3</v>
      </c>
      <c r="M134" s="933">
        <f t="shared" si="328"/>
        <v>3</v>
      </c>
      <c r="N134" s="933">
        <f t="shared" si="328"/>
        <v>3</v>
      </c>
      <c r="O134" s="933">
        <f t="shared" si="328"/>
        <v>3</v>
      </c>
      <c r="P134" s="933">
        <f t="shared" si="328"/>
        <v>3</v>
      </c>
      <c r="Q134" s="933">
        <f t="shared" ref="Q134" si="329">SUM(Q135:Q137)</f>
        <v>3</v>
      </c>
      <c r="R134" s="933">
        <f t="shared" si="328"/>
        <v>3</v>
      </c>
      <c r="S134" s="667"/>
      <c r="T134" s="963">
        <f t="shared" si="298"/>
        <v>3</v>
      </c>
      <c r="U134" s="222"/>
      <c r="V134" s="230"/>
      <c r="W134" s="230"/>
      <c r="X134" s="230">
        <f>'Manuell filtrering og justering'!E61</f>
        <v>0</v>
      </c>
      <c r="Y134" s="230"/>
      <c r="Z134" s="958">
        <f t="shared" ref="Z134" si="330">SUM(Z135:Z137)</f>
        <v>3</v>
      </c>
      <c r="AA134" s="963">
        <f t="shared" si="300"/>
        <v>0</v>
      </c>
      <c r="AB134" s="1066">
        <f>SUM(AB135:AB137)</f>
        <v>3</v>
      </c>
      <c r="AD134" s="171">
        <f t="shared" si="301"/>
        <v>2.4285714285714289E-2</v>
      </c>
      <c r="AE134" s="921">
        <f>SUM(AE135:AE137)</f>
        <v>0</v>
      </c>
      <c r="AF134" s="921">
        <f t="shared" ref="AF134" si="331">SUM(AF135:AF137)</f>
        <v>0</v>
      </c>
      <c r="AG134" s="921">
        <f t="shared" ref="AG134" si="332">SUM(AG135:AG137)</f>
        <v>0</v>
      </c>
      <c r="AI134" s="958">
        <f t="shared" ref="AI134" si="333">SUM(AI135:AI137)</f>
        <v>0</v>
      </c>
      <c r="AJ134" s="958">
        <f t="shared" ref="AJ134" si="334">SUM(AJ135:AJ137)</f>
        <v>0</v>
      </c>
      <c r="AK134" s="958">
        <f t="shared" ref="AK134" si="335">SUM(AK135:AK137)</f>
        <v>0</v>
      </c>
      <c r="AM134" s="292"/>
      <c r="AN134" s="293"/>
      <c r="AO134" s="293"/>
      <c r="AP134" s="293"/>
      <c r="AQ134" s="294"/>
      <c r="AR134" s="139"/>
      <c r="AS134" s="292"/>
      <c r="AT134" s="293"/>
      <c r="AU134" s="293"/>
      <c r="AV134" s="293"/>
      <c r="AW134" s="294"/>
      <c r="AY134" s="188"/>
      <c r="AZ134" s="189"/>
      <c r="BA134" s="189"/>
      <c r="BB134" s="189"/>
      <c r="BC134" s="717"/>
      <c r="BD134" s="182">
        <f t="shared" ref="BD134:BD147" si="336">IF(BC134=0,9,IF(AI134&gt;=BC134,5,IF(AI134&gt;=BB134,4,IF(AI134&gt;=BA134,3,IF(AI134&gt;=AZ134,2,IF(AI134&lt;AY134,0,1))))))</f>
        <v>9</v>
      </c>
      <c r="BE134" s="164" t="str">
        <f t="shared" si="308"/>
        <v>N/A</v>
      </c>
      <c r="BF134" s="185"/>
      <c r="BG134" s="182">
        <f t="shared" ref="BG134:BG147" si="337">IF(BC134=0,9,IF(AJ134&gt;=BC134,5,IF(AJ134&gt;=BB134,4,IF(AJ134&gt;=BA134,3,IF(AJ134&gt;=AZ134,2,IF(AJ134&lt;AY134,0,1))))))</f>
        <v>9</v>
      </c>
      <c r="BH134" s="164" t="str">
        <f t="shared" si="310"/>
        <v>N/A</v>
      </c>
      <c r="BI134" s="185"/>
      <c r="BJ134" s="182">
        <f t="shared" ref="BJ134:BJ147" si="338">IF(BC134=0,9,IF(AK134&gt;=BC134,5,IF(AK134&gt;=BB134,4,IF(AK134&gt;=BA134,3,IF(AK134&gt;=AZ134,2,IF(AK134&lt;AY134,0,1))))))</f>
        <v>9</v>
      </c>
      <c r="BK134" s="164" t="str">
        <f t="shared" si="311"/>
        <v>N/A</v>
      </c>
      <c r="BL134" s="185"/>
      <c r="BO134" s="167"/>
      <c r="BP134" s="167"/>
      <c r="BQ134" s="167" t="str">
        <f t="shared" si="157"/>
        <v/>
      </c>
      <c r="BR134" s="167">
        <f t="shared" si="198"/>
        <v>9</v>
      </c>
      <c r="BS134" s="167">
        <f t="shared" si="199"/>
        <v>9</v>
      </c>
      <c r="BT134" s="167">
        <f t="shared" si="200"/>
        <v>9</v>
      </c>
      <c r="BW134" s="167" t="str">
        <f>D134</f>
        <v>Mat 03</v>
      </c>
      <c r="BX134" s="167" t="str">
        <f>IFERROR(VLOOKUP($E134,'Pre-Assessment Estimator'!$E$11:$AB$228,'Pre-Assessment Estimator'!AB$2,FALSE),"")</f>
        <v>N/A</v>
      </c>
      <c r="BY134" s="167">
        <f>IFERROR(VLOOKUP($E134,'Pre-Assessment Estimator'!$E$11:$AI$228,'Pre-Assessment Estimator'!AI$2,FALSE),"")</f>
        <v>0</v>
      </c>
      <c r="BZ134" s="167">
        <f>IFERROR(VLOOKUP($BX134,$E$294:$H$327,F$292,FALSE),"")</f>
        <v>1</v>
      </c>
      <c r="CA134" s="167">
        <f>IFERROR(VLOOKUP($BX134,$E$294:$H$327,G$292,FALSE),"")</f>
        <v>0</v>
      </c>
      <c r="CB134" s="167"/>
      <c r="CC134" s="96" t="s">
        <v>429</v>
      </c>
    </row>
    <row r="135" spans="1:85" x14ac:dyDescent="0.25">
      <c r="A135" s="96">
        <v>127</v>
      </c>
      <c r="C135" s="96" t="str">
        <f t="shared" si="159"/>
        <v>Mat 03</v>
      </c>
      <c r="D135" s="188" t="s">
        <v>692</v>
      </c>
      <c r="E135" s="945" t="s">
        <v>988</v>
      </c>
      <c r="F135" s="775"/>
      <c r="G135" s="775"/>
      <c r="H135" s="775"/>
      <c r="I135" s="775"/>
      <c r="J135" s="775"/>
      <c r="K135" s="775"/>
      <c r="L135" s="775"/>
      <c r="M135" s="775"/>
      <c r="N135" s="775"/>
      <c r="O135" s="775"/>
      <c r="P135" s="775"/>
      <c r="Q135" s="775"/>
      <c r="R135" s="775"/>
      <c r="S135" s="667"/>
      <c r="T135" s="221">
        <f t="shared" si="298"/>
        <v>0</v>
      </c>
      <c r="U135" s="166"/>
      <c r="V135" s="167"/>
      <c r="W135" s="167"/>
      <c r="X135" s="167"/>
      <c r="Y135" s="168"/>
      <c r="Z135" s="168"/>
      <c r="AA135" s="169">
        <f t="shared" si="300"/>
        <v>0</v>
      </c>
      <c r="AB135" s="170">
        <f>IF($AC$5='Manuell filtrering og justering'!$J$2,Z135,(T135-AA135))</f>
        <v>0</v>
      </c>
      <c r="AD135" s="171">
        <f t="shared" si="301"/>
        <v>0</v>
      </c>
      <c r="AE135" s="171">
        <f t="shared" si="312"/>
        <v>0</v>
      </c>
      <c r="AF135" s="171">
        <f t="shared" si="313"/>
        <v>0</v>
      </c>
      <c r="AG135" s="171">
        <f t="shared" si="314"/>
        <v>0</v>
      </c>
      <c r="AI135" s="172">
        <f>IF(VLOOKUP(E135,'Pre-Assessment Estimator'!$E$11:$Z$228,'Pre-Assessment Estimator'!$G$2,FALSE)&gt;AB135,AB135,VLOOKUP(E135,'Pre-Assessment Estimator'!$E$11:$Z$228,'Pre-Assessment Estimator'!$G$2,FALSE))</f>
        <v>0</v>
      </c>
      <c r="AJ135" s="172">
        <f>IF(VLOOKUP(E135,'Pre-Assessment Estimator'!$E$11:$Z$228,'Pre-Assessment Estimator'!$N$2,FALSE)&gt;AB135,AB135,VLOOKUP(E135,'Pre-Assessment Estimator'!$E$11:$Z$228,'Pre-Assessment Estimator'!$N$2,FALSE))</f>
        <v>0</v>
      </c>
      <c r="AK135" s="172">
        <f>IF(VLOOKUP(E135,'Pre-Assessment Estimator'!$E$11:$Z$228,'Pre-Assessment Estimator'!$U$2,FALSE)&gt;AB135,AB135,VLOOKUP(E135,'Pre-Assessment Estimator'!$E$11:$Z$228,'Pre-Assessment Estimator'!$U$2,FALSE))</f>
        <v>0</v>
      </c>
      <c r="AM135" s="292"/>
      <c r="AN135" s="293"/>
      <c r="AO135" s="293"/>
      <c r="AP135" s="293"/>
      <c r="AQ135" s="294"/>
      <c r="AR135" s="139"/>
      <c r="AS135" s="292"/>
      <c r="AT135" s="293"/>
      <c r="AU135" s="293"/>
      <c r="AV135" s="293"/>
      <c r="AW135" s="294"/>
      <c r="AY135" s="188"/>
      <c r="AZ135" s="189"/>
      <c r="BA135" s="189"/>
      <c r="BB135" s="189"/>
      <c r="BC135" s="717"/>
      <c r="BD135" s="182">
        <f t="shared" si="336"/>
        <v>9</v>
      </c>
      <c r="BE135" s="164" t="str">
        <f t="shared" si="308"/>
        <v>N/A</v>
      </c>
      <c r="BF135" s="185"/>
      <c r="BG135" s="182">
        <f t="shared" si="337"/>
        <v>9</v>
      </c>
      <c r="BH135" s="164" t="str">
        <f t="shared" si="310"/>
        <v>N/A</v>
      </c>
      <c r="BI135" s="185"/>
      <c r="BJ135" s="182">
        <f t="shared" si="338"/>
        <v>9</v>
      </c>
      <c r="BK135" s="164" t="str">
        <f t="shared" si="311"/>
        <v>N/A</v>
      </c>
      <c r="BL135" s="185"/>
      <c r="BO135" s="167"/>
      <c r="BP135" s="167"/>
      <c r="BQ135" s="167" t="str">
        <f t="shared" si="157"/>
        <v/>
      </c>
      <c r="BR135" s="167">
        <f t="shared" si="198"/>
        <v>9</v>
      </c>
      <c r="BS135" s="167">
        <f t="shared" si="199"/>
        <v>9</v>
      </c>
      <c r="BT135" s="167">
        <f t="shared" si="200"/>
        <v>9</v>
      </c>
      <c r="BW135" s="167"/>
      <c r="BX135" s="167"/>
      <c r="BY135" s="167"/>
      <c r="BZ135" s="167"/>
      <c r="CA135" s="99"/>
      <c r="CB135" s="167"/>
    </row>
    <row r="136" spans="1:85" x14ac:dyDescent="0.25">
      <c r="A136" s="96">
        <v>128</v>
      </c>
      <c r="B136" s="96" t="str">
        <f t="shared" ref="B136:B137" si="339">$D$134&amp;D136</f>
        <v>Mat 03b</v>
      </c>
      <c r="C136" s="96" t="str">
        <f t="shared" si="159"/>
        <v>Mat 03</v>
      </c>
      <c r="D136" s="188" t="s">
        <v>695</v>
      </c>
      <c r="E136" s="1123" t="s">
        <v>652</v>
      </c>
      <c r="F136" s="775">
        <v>1</v>
      </c>
      <c r="G136" s="775">
        <v>1</v>
      </c>
      <c r="H136" s="775">
        <v>1</v>
      </c>
      <c r="I136" s="775">
        <v>1</v>
      </c>
      <c r="J136" s="775">
        <v>1</v>
      </c>
      <c r="K136" s="775">
        <v>1</v>
      </c>
      <c r="L136" s="775">
        <v>1</v>
      </c>
      <c r="M136" s="775">
        <v>1</v>
      </c>
      <c r="N136" s="775">
        <v>1</v>
      </c>
      <c r="O136" s="775">
        <v>1</v>
      </c>
      <c r="P136" s="775">
        <v>1</v>
      </c>
      <c r="Q136" s="775">
        <v>1</v>
      </c>
      <c r="R136" s="775">
        <v>1</v>
      </c>
      <c r="S136" s="667"/>
      <c r="T136" s="221">
        <f t="shared" si="298"/>
        <v>1</v>
      </c>
      <c r="U136" s="166"/>
      <c r="V136" s="167"/>
      <c r="W136" s="167"/>
      <c r="X136" s="167"/>
      <c r="Y136" s="168"/>
      <c r="Z136" s="168">
        <f>VLOOKUP(B136,'Manuell filtrering og justering'!$A$7:$H$253,'Manuell filtrering og justering'!$H$1,FALSE)</f>
        <v>1</v>
      </c>
      <c r="AA136" s="169">
        <f t="shared" si="300"/>
        <v>0</v>
      </c>
      <c r="AB136" s="170">
        <f>IF($AC$5='Manuell filtrering og justering'!$J$2,Z136,(T136-AA136))</f>
        <v>1</v>
      </c>
      <c r="AD136" s="171">
        <f t="shared" si="301"/>
        <v>8.0952380952380963E-3</v>
      </c>
      <c r="AE136" s="171">
        <f t="shared" si="312"/>
        <v>0</v>
      </c>
      <c r="AF136" s="171">
        <f t="shared" si="313"/>
        <v>0</v>
      </c>
      <c r="AG136" s="171">
        <f t="shared" si="314"/>
        <v>0</v>
      </c>
      <c r="AI136" s="172">
        <f>IF(VLOOKUP(E136,'Pre-Assessment Estimator'!$E$11:$Z$228,'Pre-Assessment Estimator'!$G$2,FALSE)&gt;AB136,AB136,VLOOKUP(E136,'Pre-Assessment Estimator'!$E$11:$Z$228,'Pre-Assessment Estimator'!$G$2,FALSE))</f>
        <v>0</v>
      </c>
      <c r="AJ136" s="172">
        <f>IF(VLOOKUP(E136,'Pre-Assessment Estimator'!$E$11:$Z$228,'Pre-Assessment Estimator'!$N$2,FALSE)&gt;AB136,AB136,VLOOKUP(E136,'Pre-Assessment Estimator'!$E$11:$Z$228,'Pre-Assessment Estimator'!$N$2,FALSE))</f>
        <v>0</v>
      </c>
      <c r="AK136" s="172">
        <f>IF(VLOOKUP(E136,'Pre-Assessment Estimator'!$E$11:$Z$228,'Pre-Assessment Estimator'!$U$2,FALSE)&gt;AB136,AB136,VLOOKUP(E136,'Pre-Assessment Estimator'!$E$11:$Z$228,'Pre-Assessment Estimator'!$U$2,FALSE))</f>
        <v>0</v>
      </c>
      <c r="AM136" s="292"/>
      <c r="AN136" s="293"/>
      <c r="AO136" s="293"/>
      <c r="AP136" s="293"/>
      <c r="AQ136" s="294"/>
      <c r="AR136" s="139"/>
      <c r="AS136" s="292"/>
      <c r="AT136" s="293"/>
      <c r="AU136" s="293"/>
      <c r="AV136" s="293"/>
      <c r="AW136" s="294"/>
      <c r="AY136" s="188"/>
      <c r="AZ136" s="189"/>
      <c r="BA136" s="189"/>
      <c r="BB136" s="189"/>
      <c r="BC136" s="717"/>
      <c r="BD136" s="182">
        <f t="shared" si="336"/>
        <v>9</v>
      </c>
      <c r="BE136" s="164" t="str">
        <f t="shared" si="308"/>
        <v>N/A</v>
      </c>
      <c r="BF136" s="185"/>
      <c r="BG136" s="182">
        <f t="shared" si="337"/>
        <v>9</v>
      </c>
      <c r="BH136" s="164" t="str">
        <f t="shared" si="310"/>
        <v>N/A</v>
      </c>
      <c r="BI136" s="185"/>
      <c r="BJ136" s="182">
        <f t="shared" si="338"/>
        <v>9</v>
      </c>
      <c r="BK136" s="164" t="str">
        <f t="shared" si="311"/>
        <v>N/A</v>
      </c>
      <c r="BL136" s="185"/>
      <c r="BO136" s="167"/>
      <c r="BP136" s="167"/>
      <c r="BQ136" s="167" t="str">
        <f t="shared" si="157"/>
        <v/>
      </c>
      <c r="BR136" s="167">
        <f t="shared" si="198"/>
        <v>9</v>
      </c>
      <c r="BS136" s="167">
        <f t="shared" si="199"/>
        <v>9</v>
      </c>
      <c r="BT136" s="167">
        <f t="shared" si="200"/>
        <v>9</v>
      </c>
      <c r="BW136" s="167"/>
      <c r="BX136" s="167"/>
      <c r="BY136" s="167"/>
      <c r="BZ136" s="167"/>
      <c r="CA136" s="99"/>
      <c r="CB136" s="167"/>
    </row>
    <row r="137" spans="1:85" x14ac:dyDescent="0.25">
      <c r="A137" s="96">
        <v>129</v>
      </c>
      <c r="B137" s="96" t="str">
        <f t="shared" si="339"/>
        <v>Mat 03c</v>
      </c>
      <c r="C137" s="96" t="str">
        <f t="shared" si="159"/>
        <v>Mat 03</v>
      </c>
      <c r="D137" s="188" t="s">
        <v>696</v>
      </c>
      <c r="E137" s="1123" t="s">
        <v>653</v>
      </c>
      <c r="F137" s="775">
        <v>2</v>
      </c>
      <c r="G137" s="775">
        <v>2</v>
      </c>
      <c r="H137" s="775">
        <v>2</v>
      </c>
      <c r="I137" s="775">
        <v>2</v>
      </c>
      <c r="J137" s="775">
        <v>2</v>
      </c>
      <c r="K137" s="775">
        <v>2</v>
      </c>
      <c r="L137" s="775">
        <v>2</v>
      </c>
      <c r="M137" s="775">
        <v>2</v>
      </c>
      <c r="N137" s="775">
        <v>2</v>
      </c>
      <c r="O137" s="775">
        <v>2</v>
      </c>
      <c r="P137" s="775">
        <v>2</v>
      </c>
      <c r="Q137" s="775">
        <v>2</v>
      </c>
      <c r="R137" s="775">
        <v>2</v>
      </c>
      <c r="S137" s="667"/>
      <c r="T137" s="221">
        <f t="shared" si="298"/>
        <v>2</v>
      </c>
      <c r="U137" s="166"/>
      <c r="V137" s="167"/>
      <c r="W137" s="167"/>
      <c r="X137" s="167"/>
      <c r="Y137" s="168"/>
      <c r="Z137" s="168">
        <f>VLOOKUP(B137,'Manuell filtrering og justering'!$A$7:$H$253,'Manuell filtrering og justering'!$H$1,FALSE)</f>
        <v>2</v>
      </c>
      <c r="AA137" s="169">
        <f t="shared" si="300"/>
        <v>0</v>
      </c>
      <c r="AB137" s="170">
        <f>IF($AC$5='Manuell filtrering og justering'!$J$2,Z137,(T137-AA137))</f>
        <v>2</v>
      </c>
      <c r="AD137" s="171">
        <f t="shared" si="301"/>
        <v>1.6190476190476193E-2</v>
      </c>
      <c r="AE137" s="171">
        <f t="shared" si="312"/>
        <v>0</v>
      </c>
      <c r="AF137" s="171">
        <f t="shared" si="313"/>
        <v>0</v>
      </c>
      <c r="AG137" s="171">
        <f t="shared" si="314"/>
        <v>0</v>
      </c>
      <c r="AI137" s="172">
        <f>IF(VLOOKUP(E137,'Pre-Assessment Estimator'!$E$11:$Z$228,'Pre-Assessment Estimator'!$G$2,FALSE)&gt;AB137,AB137,VLOOKUP(E137,'Pre-Assessment Estimator'!$E$11:$Z$228,'Pre-Assessment Estimator'!$G$2,FALSE))</f>
        <v>0</v>
      </c>
      <c r="AJ137" s="172">
        <f>IF(VLOOKUP(E137,'Pre-Assessment Estimator'!$E$11:$Z$228,'Pre-Assessment Estimator'!$N$2,FALSE)&gt;AB137,AB137,VLOOKUP(E137,'Pre-Assessment Estimator'!$E$11:$Z$228,'Pre-Assessment Estimator'!$N$2,FALSE))</f>
        <v>0</v>
      </c>
      <c r="AK137" s="172">
        <f>IF(VLOOKUP(E137,'Pre-Assessment Estimator'!$E$11:$Z$228,'Pre-Assessment Estimator'!$U$2,FALSE)&gt;AB137,AB137,VLOOKUP(E137,'Pre-Assessment Estimator'!$E$11:$Z$228,'Pre-Assessment Estimator'!$U$2,FALSE))</f>
        <v>0</v>
      </c>
      <c r="AM137" s="292"/>
      <c r="AN137" s="293"/>
      <c r="AO137" s="293"/>
      <c r="AP137" s="293"/>
      <c r="AQ137" s="294"/>
      <c r="AR137" s="139"/>
      <c r="AS137" s="292"/>
      <c r="AT137" s="293"/>
      <c r="AU137" s="293"/>
      <c r="AV137" s="293"/>
      <c r="AW137" s="294"/>
      <c r="AY137" s="188"/>
      <c r="AZ137" s="189"/>
      <c r="BA137" s="189"/>
      <c r="BB137" s="189"/>
      <c r="BC137" s="717"/>
      <c r="BD137" s="182">
        <f t="shared" si="336"/>
        <v>9</v>
      </c>
      <c r="BE137" s="164" t="str">
        <f t="shared" si="308"/>
        <v>N/A</v>
      </c>
      <c r="BF137" s="185"/>
      <c r="BG137" s="182">
        <f t="shared" si="337"/>
        <v>9</v>
      </c>
      <c r="BH137" s="164" t="str">
        <f t="shared" si="310"/>
        <v>N/A</v>
      </c>
      <c r="BI137" s="185"/>
      <c r="BJ137" s="182">
        <f t="shared" si="338"/>
        <v>9</v>
      </c>
      <c r="BK137" s="164" t="str">
        <f t="shared" si="311"/>
        <v>N/A</v>
      </c>
      <c r="BL137" s="185"/>
      <c r="BO137" s="167"/>
      <c r="BP137" s="167"/>
      <c r="BQ137" s="167" t="str">
        <f t="shared" si="157"/>
        <v/>
      </c>
      <c r="BR137" s="167">
        <f t="shared" si="198"/>
        <v>9</v>
      </c>
      <c r="BS137" s="167">
        <f t="shared" si="199"/>
        <v>9</v>
      </c>
      <c r="BT137" s="167">
        <f t="shared" si="200"/>
        <v>9</v>
      </c>
      <c r="BW137" s="167"/>
      <c r="BX137" s="167"/>
      <c r="BY137" s="167"/>
      <c r="BZ137" s="167"/>
      <c r="CA137" s="99"/>
      <c r="CB137" s="167"/>
    </row>
    <row r="138" spans="1:85" x14ac:dyDescent="0.25">
      <c r="A138" s="96">
        <v>130</v>
      </c>
      <c r="B138" s="137" t="str">
        <f>D138</f>
        <v>Mat 05</v>
      </c>
      <c r="C138" s="137" t="str">
        <f>B138</f>
        <v>Mat 05</v>
      </c>
      <c r="D138" s="946" t="s">
        <v>174</v>
      </c>
      <c r="E138" s="832" t="s">
        <v>957</v>
      </c>
      <c r="F138" s="933">
        <f>SUM(F139:F143)</f>
        <v>4</v>
      </c>
      <c r="G138" s="933">
        <f t="shared" ref="G138:R138" si="340">SUM(G139:G143)</f>
        <v>4</v>
      </c>
      <c r="H138" s="933">
        <f t="shared" si="340"/>
        <v>4</v>
      </c>
      <c r="I138" s="933">
        <f t="shared" si="340"/>
        <v>4</v>
      </c>
      <c r="J138" s="933">
        <f t="shared" si="340"/>
        <v>4</v>
      </c>
      <c r="K138" s="933">
        <f t="shared" si="340"/>
        <v>4</v>
      </c>
      <c r="L138" s="933">
        <f t="shared" si="340"/>
        <v>4</v>
      </c>
      <c r="M138" s="933">
        <f t="shared" si="340"/>
        <v>4</v>
      </c>
      <c r="N138" s="933">
        <f t="shared" si="340"/>
        <v>4</v>
      </c>
      <c r="O138" s="933">
        <f t="shared" si="340"/>
        <v>4</v>
      </c>
      <c r="P138" s="933">
        <f t="shared" si="340"/>
        <v>4</v>
      </c>
      <c r="Q138" s="933">
        <f t="shared" ref="Q138" si="341">SUM(Q139:Q143)</f>
        <v>4</v>
      </c>
      <c r="R138" s="933">
        <f t="shared" si="340"/>
        <v>4</v>
      </c>
      <c r="S138" s="667"/>
      <c r="T138" s="963">
        <f t="shared" si="298"/>
        <v>4</v>
      </c>
      <c r="U138" s="222"/>
      <c r="V138" s="230"/>
      <c r="W138" s="230"/>
      <c r="X138" s="230">
        <f>'Manuell filtrering og justering'!E62</f>
        <v>0</v>
      </c>
      <c r="Y138" s="230"/>
      <c r="Z138" s="958">
        <f>SUM(Z139:Z143)</f>
        <v>4</v>
      </c>
      <c r="AA138" s="963">
        <f t="shared" si="300"/>
        <v>0</v>
      </c>
      <c r="AB138" s="1066">
        <f>SUM(AB139:AB143)</f>
        <v>4</v>
      </c>
      <c r="AD138" s="171">
        <f t="shared" si="301"/>
        <v>3.2380952380952385E-2</v>
      </c>
      <c r="AE138" s="921">
        <f>SUM(AE139:AE143)</f>
        <v>0</v>
      </c>
      <c r="AF138" s="921">
        <f>SUM(AF139:AF143)</f>
        <v>0</v>
      </c>
      <c r="AG138" s="921">
        <f>SUM(AG139:AG143)</f>
        <v>0</v>
      </c>
      <c r="AI138" s="958">
        <f>SUM(AI139:AI143)</f>
        <v>0</v>
      </c>
      <c r="AJ138" s="958">
        <f>SUM(AJ139:AJ143)</f>
        <v>0</v>
      </c>
      <c r="AK138" s="958">
        <f>SUM(AK139:AK143)</f>
        <v>0</v>
      </c>
      <c r="AL138" s="96" t="s">
        <v>425</v>
      </c>
      <c r="AM138" s="292"/>
      <c r="AN138" s="293"/>
      <c r="AO138" s="293"/>
      <c r="AP138" s="293"/>
      <c r="AQ138" s="294"/>
      <c r="AR138" s="139"/>
      <c r="AS138" s="292"/>
      <c r="AT138" s="293"/>
      <c r="AU138" s="293"/>
      <c r="AV138" s="293"/>
      <c r="AW138" s="294"/>
      <c r="AY138" s="188"/>
      <c r="AZ138" s="189"/>
      <c r="BA138" s="189"/>
      <c r="BB138" s="189"/>
      <c r="BC138" s="717"/>
      <c r="BD138" s="182">
        <f t="shared" si="336"/>
        <v>9</v>
      </c>
      <c r="BE138" s="164" t="str">
        <f t="shared" si="308"/>
        <v>N/A</v>
      </c>
      <c r="BF138" s="185"/>
      <c r="BG138" s="182">
        <f t="shared" si="337"/>
        <v>9</v>
      </c>
      <c r="BH138" s="164" t="str">
        <f t="shared" si="310"/>
        <v>N/A</v>
      </c>
      <c r="BI138" s="185"/>
      <c r="BJ138" s="182">
        <f t="shared" si="338"/>
        <v>9</v>
      </c>
      <c r="BK138" s="164" t="str">
        <f t="shared" si="311"/>
        <v>N/A</v>
      </c>
      <c r="BL138" s="185"/>
      <c r="BO138" s="167"/>
      <c r="BP138" s="167"/>
      <c r="BQ138" s="167" t="str">
        <f t="shared" si="157"/>
        <v/>
      </c>
      <c r="BR138" s="167">
        <f t="shared" si="198"/>
        <v>9</v>
      </c>
      <c r="BS138" s="167">
        <f t="shared" si="199"/>
        <v>9</v>
      </c>
      <c r="BT138" s="167">
        <f t="shared" si="200"/>
        <v>9</v>
      </c>
      <c r="BW138" s="167" t="str">
        <f>D138</f>
        <v>Mat 05</v>
      </c>
      <c r="BX138" s="167" t="str">
        <f>IFERROR(VLOOKUP($E138,'Pre-Assessment Estimator'!$E$11:$AB$228,'Pre-Assessment Estimator'!AB$2,FALSE),"")</f>
        <v>No</v>
      </c>
      <c r="BY138" s="230" t="str">
        <f>IFERROR(VLOOKUP($E138,'Pre-Assessment Estimator'!$E$11:$AI$228,'Pre-Assessment Estimator'!AI$2,FALSE),"")</f>
        <v>Ja</v>
      </c>
      <c r="BZ138" s="167">
        <f>IFERROR(VLOOKUP($BX138,$E$294:$H$327,F$292,FALSE),"")</f>
        <v>1</v>
      </c>
      <c r="CA138" s="680" t="s">
        <v>430</v>
      </c>
      <c r="CB138" s="167"/>
      <c r="CC138" s="96" t="str">
        <f>IFERROR(VLOOKUP($BX138,$E$294:$H$327,I$292,FALSE),"")</f>
        <v/>
      </c>
      <c r="CD138" s="96" t="s">
        <v>436</v>
      </c>
      <c r="CE138" s="167">
        <f>VLOOKUP(CA138,$CA$4:$CB$5,2,FALSE)</f>
        <v>1</v>
      </c>
      <c r="CG138" s="681">
        <f>IF($BX$5=ais_nei,CE138,IF(AND(CA138=$CA$4,BX138=$CC$4),0,BZ138))</f>
        <v>1</v>
      </c>
    </row>
    <row r="139" spans="1:85" x14ac:dyDescent="0.25">
      <c r="A139" s="96">
        <v>131</v>
      </c>
      <c r="C139" s="96" t="str">
        <f t="shared" si="159"/>
        <v>Mat 05</v>
      </c>
      <c r="D139" s="188" t="s">
        <v>692</v>
      </c>
      <c r="E139" s="940" t="s">
        <v>654</v>
      </c>
      <c r="F139" s="775"/>
      <c r="G139" s="775"/>
      <c r="H139" s="775"/>
      <c r="I139" s="775"/>
      <c r="J139" s="775"/>
      <c r="K139" s="775"/>
      <c r="L139" s="775"/>
      <c r="M139" s="775"/>
      <c r="N139" s="775"/>
      <c r="O139" s="775"/>
      <c r="P139" s="775"/>
      <c r="Q139" s="775"/>
      <c r="R139" s="775"/>
      <c r="S139" s="667"/>
      <c r="T139" s="221">
        <f t="shared" si="298"/>
        <v>0</v>
      </c>
      <c r="U139" s="166"/>
      <c r="V139" s="167"/>
      <c r="W139" s="167"/>
      <c r="X139" s="167"/>
      <c r="Y139" s="168"/>
      <c r="Z139" s="168"/>
      <c r="AA139" s="169">
        <f t="shared" si="300"/>
        <v>0</v>
      </c>
      <c r="AB139" s="170">
        <f>IF($AC$5='Manuell filtrering og justering'!$J$2,Z139,(T139-AA139))</f>
        <v>0</v>
      </c>
      <c r="AD139" s="171">
        <f t="shared" si="301"/>
        <v>0</v>
      </c>
      <c r="AE139" s="171">
        <f t="shared" si="312"/>
        <v>0</v>
      </c>
      <c r="AF139" s="171">
        <f t="shared" si="313"/>
        <v>0</v>
      </c>
      <c r="AG139" s="171">
        <f t="shared" si="314"/>
        <v>0</v>
      </c>
      <c r="AI139" s="172">
        <f>IF(VLOOKUP(E139,'Pre-Assessment Estimator'!$E$11:$Z$228,'Pre-Assessment Estimator'!$G$2,FALSE)&gt;AB139,AB139,VLOOKUP(E139,'Pre-Assessment Estimator'!$E$11:$Z$228,'Pre-Assessment Estimator'!$G$2,FALSE))</f>
        <v>0</v>
      </c>
      <c r="AJ139" s="172">
        <f>IF(VLOOKUP(E139,'Pre-Assessment Estimator'!$E$11:$Z$228,'Pre-Assessment Estimator'!$N$2,FALSE)&gt;AB139,AB139,VLOOKUP(E139,'Pre-Assessment Estimator'!$E$11:$Z$228,'Pre-Assessment Estimator'!$N$2,FALSE))</f>
        <v>0</v>
      </c>
      <c r="AK139" s="172">
        <f>IF(VLOOKUP(E139,'Pre-Assessment Estimator'!$E$11:$Z$228,'Pre-Assessment Estimator'!$U$2,FALSE)&gt;AB139,AB139,VLOOKUP(E139,'Pre-Assessment Estimator'!$E$11:$Z$228,'Pre-Assessment Estimator'!$U$2,FALSE))</f>
        <v>0</v>
      </c>
      <c r="AM139" s="292"/>
      <c r="AN139" s="293"/>
      <c r="AO139" s="293"/>
      <c r="AP139" s="293"/>
      <c r="AQ139" s="294"/>
      <c r="AR139" s="139"/>
      <c r="AS139" s="292"/>
      <c r="AT139" s="293"/>
      <c r="AU139" s="293"/>
      <c r="AV139" s="293"/>
      <c r="AW139" s="294"/>
      <c r="AY139" s="188"/>
      <c r="AZ139" s="189"/>
      <c r="BA139" s="189"/>
      <c r="BB139" s="189"/>
      <c r="BC139" s="717"/>
      <c r="BD139" s="182">
        <f t="shared" si="336"/>
        <v>9</v>
      </c>
      <c r="BE139" s="164" t="str">
        <f t="shared" si="308"/>
        <v>N/A</v>
      </c>
      <c r="BF139" s="185"/>
      <c r="BG139" s="182">
        <f t="shared" si="337"/>
        <v>9</v>
      </c>
      <c r="BH139" s="164" t="str">
        <f t="shared" si="310"/>
        <v>N/A</v>
      </c>
      <c r="BI139" s="185"/>
      <c r="BJ139" s="182">
        <f t="shared" si="338"/>
        <v>9</v>
      </c>
      <c r="BK139" s="164" t="str">
        <f t="shared" si="311"/>
        <v>N/A</v>
      </c>
      <c r="BL139" s="185"/>
      <c r="BO139" s="167"/>
      <c r="BP139" s="167"/>
      <c r="BQ139" s="167" t="str">
        <f t="shared" ref="BQ139:BQ202" si="342">IF(BO139&lt;&gt;"",BO139,IF(BP139&lt;&gt;"",BP139,""))</f>
        <v/>
      </c>
      <c r="BR139" s="167">
        <f t="shared" si="198"/>
        <v>9</v>
      </c>
      <c r="BS139" s="167">
        <f t="shared" si="199"/>
        <v>9</v>
      </c>
      <c r="BT139" s="167">
        <f t="shared" si="200"/>
        <v>9</v>
      </c>
      <c r="BW139" s="167"/>
      <c r="BX139" s="167"/>
      <c r="BY139" s="230"/>
      <c r="BZ139" s="167"/>
      <c r="CA139" s="680"/>
      <c r="CB139" s="167"/>
      <c r="CE139" s="99"/>
      <c r="CG139" s="681"/>
    </row>
    <row r="140" spans="1:85" x14ac:dyDescent="0.25">
      <c r="A140" s="96">
        <v>132</v>
      </c>
      <c r="B140" s="96" t="str">
        <f t="shared" ref="B140:B143" si="343">$D$138&amp;D140</f>
        <v>Mat 05b</v>
      </c>
      <c r="C140" s="96" t="str">
        <f t="shared" ref="C140:C203" si="344">C139</f>
        <v>Mat 05</v>
      </c>
      <c r="D140" s="188" t="s">
        <v>695</v>
      </c>
      <c r="E140" s="1123" t="s">
        <v>655</v>
      </c>
      <c r="F140" s="775">
        <v>1</v>
      </c>
      <c r="G140" s="775">
        <v>1</v>
      </c>
      <c r="H140" s="775">
        <v>1</v>
      </c>
      <c r="I140" s="775">
        <v>1</v>
      </c>
      <c r="J140" s="775">
        <v>1</v>
      </c>
      <c r="K140" s="775">
        <v>1</v>
      </c>
      <c r="L140" s="775">
        <v>1</v>
      </c>
      <c r="M140" s="775">
        <v>1</v>
      </c>
      <c r="N140" s="775">
        <v>1</v>
      </c>
      <c r="O140" s="775">
        <v>1</v>
      </c>
      <c r="P140" s="775">
        <v>1</v>
      </c>
      <c r="Q140" s="775">
        <v>1</v>
      </c>
      <c r="R140" s="775">
        <v>1</v>
      </c>
      <c r="S140" s="667"/>
      <c r="T140" s="221">
        <f t="shared" si="298"/>
        <v>1</v>
      </c>
      <c r="U140" s="166"/>
      <c r="V140" s="167"/>
      <c r="W140" s="167"/>
      <c r="X140" s="167"/>
      <c r="Y140" s="168"/>
      <c r="Z140" s="168">
        <f>VLOOKUP(B140,'Manuell filtrering og justering'!$A$7:$H$253,'Manuell filtrering og justering'!$H$1,FALSE)</f>
        <v>1</v>
      </c>
      <c r="AA140" s="169">
        <f t="shared" si="300"/>
        <v>0</v>
      </c>
      <c r="AB140" s="170">
        <f>IF($AC$5='Manuell filtrering og justering'!$J$2,Z140,(T140-AA140))</f>
        <v>1</v>
      </c>
      <c r="AD140" s="171">
        <f t="shared" si="301"/>
        <v>8.0952380952380963E-3</v>
      </c>
      <c r="AE140" s="171">
        <f t="shared" si="312"/>
        <v>0</v>
      </c>
      <c r="AF140" s="171">
        <f t="shared" si="313"/>
        <v>0</v>
      </c>
      <c r="AG140" s="171">
        <f t="shared" si="314"/>
        <v>0</v>
      </c>
      <c r="AI140" s="1067">
        <f>IF(AI241=AD_no,0,IF(VLOOKUP(E140,'Pre-Assessment Estimator'!$E$11:$Z$228,'Pre-Assessment Estimator'!$G$2,FALSE)&gt;AB140,AB140,VLOOKUP(E140,'Pre-Assessment Estimator'!$E$11:$Z$228,'Pre-Assessment Estimator'!$G$2,FALSE)))</f>
        <v>0</v>
      </c>
      <c r="AJ140" s="1067">
        <f>IF(AJ241=AD_no,0,IF(VLOOKUP(E140,'Pre-Assessment Estimator'!$E$11:$Z$228,'Pre-Assessment Estimator'!$N$2,FALSE)&gt;AB140,AB140,VLOOKUP(E140,'Pre-Assessment Estimator'!$E$11:$Z$228,'Pre-Assessment Estimator'!$N$2,FALSE)))</f>
        <v>0</v>
      </c>
      <c r="AK140" s="1067">
        <f>IF(AK241=AD_no,0,IF(VLOOKUP(E140,'Pre-Assessment Estimator'!$E$11:$Z$228,'Pre-Assessment Estimator'!$U$2,FALSE)&gt;AB140,AB140,VLOOKUP(E140,'Pre-Assessment Estimator'!$E$11:$Z$228,'Pre-Assessment Estimator'!$U$2,FALSE)))</f>
        <v>0</v>
      </c>
      <c r="AM140" s="292"/>
      <c r="AN140" s="293"/>
      <c r="AO140" s="293"/>
      <c r="AP140" s="293"/>
      <c r="AQ140" s="294"/>
      <c r="AR140" s="139"/>
      <c r="AS140" s="292"/>
      <c r="AT140" s="293"/>
      <c r="AU140" s="293"/>
      <c r="AV140" s="293"/>
      <c r="AW140" s="294"/>
      <c r="AY140" s="188"/>
      <c r="AZ140" s="189"/>
      <c r="BA140" s="189"/>
      <c r="BB140" s="189"/>
      <c r="BC140" s="717"/>
      <c r="BD140" s="182">
        <f t="shared" si="336"/>
        <v>9</v>
      </c>
      <c r="BE140" s="164" t="str">
        <f t="shared" si="308"/>
        <v>N/A</v>
      </c>
      <c r="BF140" s="185"/>
      <c r="BG140" s="182">
        <f t="shared" si="337"/>
        <v>9</v>
      </c>
      <c r="BH140" s="164" t="str">
        <f t="shared" si="310"/>
        <v>N/A</v>
      </c>
      <c r="BI140" s="185"/>
      <c r="BJ140" s="182">
        <f t="shared" si="338"/>
        <v>9</v>
      </c>
      <c r="BK140" s="164" t="str">
        <f t="shared" si="311"/>
        <v>N/A</v>
      </c>
      <c r="BL140" s="185"/>
      <c r="BO140" s="167"/>
      <c r="BP140" s="167"/>
      <c r="BQ140" s="167" t="str">
        <f t="shared" si="342"/>
        <v/>
      </c>
      <c r="BR140" s="167">
        <f t="shared" si="198"/>
        <v>9</v>
      </c>
      <c r="BS140" s="167">
        <f t="shared" si="199"/>
        <v>9</v>
      </c>
      <c r="BT140" s="167">
        <f t="shared" si="200"/>
        <v>9</v>
      </c>
      <c r="BW140" s="167"/>
      <c r="BX140" s="167"/>
      <c r="BY140" s="230"/>
      <c r="BZ140" s="167"/>
      <c r="CA140" s="680"/>
      <c r="CB140" s="167"/>
      <c r="CE140" s="99"/>
      <c r="CG140" s="681"/>
    </row>
    <row r="141" spans="1:85" x14ac:dyDescent="0.25">
      <c r="A141" s="96">
        <v>133</v>
      </c>
      <c r="B141" s="96" t="str">
        <f t="shared" si="343"/>
        <v>Mat 05c</v>
      </c>
      <c r="C141" s="96" t="str">
        <f t="shared" si="344"/>
        <v>Mat 05</v>
      </c>
      <c r="D141" s="188" t="s">
        <v>696</v>
      </c>
      <c r="E141" s="1123" t="s">
        <v>656</v>
      </c>
      <c r="F141" s="775">
        <v>1</v>
      </c>
      <c r="G141" s="775">
        <v>1</v>
      </c>
      <c r="H141" s="775">
        <v>1</v>
      </c>
      <c r="I141" s="775">
        <v>1</v>
      </c>
      <c r="J141" s="775">
        <v>1</v>
      </c>
      <c r="K141" s="775">
        <v>1</v>
      </c>
      <c r="L141" s="775">
        <v>1</v>
      </c>
      <c r="M141" s="775">
        <v>1</v>
      </c>
      <c r="N141" s="775">
        <v>1</v>
      </c>
      <c r="O141" s="775">
        <v>1</v>
      </c>
      <c r="P141" s="775">
        <v>1</v>
      </c>
      <c r="Q141" s="775">
        <v>1</v>
      </c>
      <c r="R141" s="775">
        <v>1</v>
      </c>
      <c r="S141" s="667"/>
      <c r="T141" s="221">
        <f t="shared" si="298"/>
        <v>1</v>
      </c>
      <c r="U141" s="166"/>
      <c r="V141" s="167"/>
      <c r="W141" s="167"/>
      <c r="X141" s="167"/>
      <c r="Y141" s="168"/>
      <c r="Z141" s="168">
        <f>VLOOKUP(B141,'Manuell filtrering og justering'!$A$7:$H$253,'Manuell filtrering og justering'!$H$1,FALSE)</f>
        <v>1</v>
      </c>
      <c r="AA141" s="169">
        <f t="shared" si="300"/>
        <v>0</v>
      </c>
      <c r="AB141" s="170">
        <f>IF($AC$5='Manuell filtrering og justering'!$J$2,Z141,(T141-AA141))</f>
        <v>1</v>
      </c>
      <c r="AD141" s="171">
        <f t="shared" si="301"/>
        <v>8.0952380952380963E-3</v>
      </c>
      <c r="AE141" s="171">
        <f t="shared" si="312"/>
        <v>0</v>
      </c>
      <c r="AF141" s="171">
        <f t="shared" si="313"/>
        <v>0</v>
      </c>
      <c r="AG141" s="171">
        <f t="shared" si="314"/>
        <v>0</v>
      </c>
      <c r="AI141" s="1067">
        <f>IF(AI241=AD_no,0,IF(VLOOKUP(E141,'Pre-Assessment Estimator'!$E$11:$Z$228,'Pre-Assessment Estimator'!$G$2,FALSE)&gt;AB141,AB141,VLOOKUP(E141,'Pre-Assessment Estimator'!$E$11:$Z$228,'Pre-Assessment Estimator'!$G$2,FALSE)))</f>
        <v>0</v>
      </c>
      <c r="AJ141" s="1067">
        <f>IF(AJ241=AD_no,0,IF(VLOOKUP(E141,'Pre-Assessment Estimator'!$E$11:$Z$228,'Pre-Assessment Estimator'!$N$2,FALSE)&gt;AB141,AB141,VLOOKUP(E141,'Pre-Assessment Estimator'!$E$11:$Z$228,'Pre-Assessment Estimator'!$N$2,FALSE)))</f>
        <v>0</v>
      </c>
      <c r="AK141" s="1067">
        <f>IF(AK241=AD_no,0,IF(VLOOKUP(E141,'Pre-Assessment Estimator'!$E$11:$Z$228,'Pre-Assessment Estimator'!$U$2,FALSE)&gt;AB141,AB141,VLOOKUP(E141,'Pre-Assessment Estimator'!$E$11:$Z$228,'Pre-Assessment Estimator'!$U$2,FALSE)))</f>
        <v>0</v>
      </c>
      <c r="AM141" s="292"/>
      <c r="AN141" s="293"/>
      <c r="AO141" s="293"/>
      <c r="AP141" s="293"/>
      <c r="AQ141" s="294"/>
      <c r="AR141" s="139"/>
      <c r="AS141" s="292"/>
      <c r="AT141" s="293"/>
      <c r="AU141" s="293"/>
      <c r="AV141" s="293"/>
      <c r="AW141" s="294"/>
      <c r="AY141" s="188"/>
      <c r="AZ141" s="189"/>
      <c r="BA141" s="189"/>
      <c r="BB141" s="189"/>
      <c r="BC141" s="717"/>
      <c r="BD141" s="182">
        <f t="shared" si="336"/>
        <v>9</v>
      </c>
      <c r="BE141" s="164" t="str">
        <f t="shared" si="308"/>
        <v>N/A</v>
      </c>
      <c r="BF141" s="185"/>
      <c r="BG141" s="182">
        <f t="shared" si="337"/>
        <v>9</v>
      </c>
      <c r="BH141" s="164" t="str">
        <f t="shared" si="310"/>
        <v>N/A</v>
      </c>
      <c r="BI141" s="185"/>
      <c r="BJ141" s="182">
        <f t="shared" si="338"/>
        <v>9</v>
      </c>
      <c r="BK141" s="164" t="str">
        <f t="shared" si="311"/>
        <v>N/A</v>
      </c>
      <c r="BL141" s="185"/>
      <c r="BO141" s="167"/>
      <c r="BP141" s="167"/>
      <c r="BQ141" s="167" t="str">
        <f t="shared" si="342"/>
        <v/>
      </c>
      <c r="BR141" s="167">
        <f t="shared" si="198"/>
        <v>9</v>
      </c>
      <c r="BS141" s="167">
        <f t="shared" si="199"/>
        <v>9</v>
      </c>
      <c r="BT141" s="167">
        <f t="shared" si="200"/>
        <v>9</v>
      </c>
      <c r="BW141" s="167"/>
      <c r="BX141" s="167"/>
      <c r="BY141" s="230"/>
      <c r="BZ141" s="167"/>
      <c r="CA141" s="680"/>
      <c r="CB141" s="167"/>
      <c r="CE141" s="99"/>
      <c r="CG141" s="681"/>
    </row>
    <row r="142" spans="1:85" x14ac:dyDescent="0.25">
      <c r="A142" s="96">
        <v>134</v>
      </c>
      <c r="B142" s="96" t="str">
        <f t="shared" si="343"/>
        <v>Mat 05d</v>
      </c>
      <c r="C142" s="96" t="str">
        <f t="shared" si="344"/>
        <v>Mat 05</v>
      </c>
      <c r="D142" s="188" t="s">
        <v>694</v>
      </c>
      <c r="E142" s="1123" t="s">
        <v>1002</v>
      </c>
      <c r="F142" s="775">
        <v>1</v>
      </c>
      <c r="G142" s="775">
        <v>1</v>
      </c>
      <c r="H142" s="775">
        <v>1</v>
      </c>
      <c r="I142" s="775">
        <v>1</v>
      </c>
      <c r="J142" s="775">
        <v>1</v>
      </c>
      <c r="K142" s="775">
        <v>1</v>
      </c>
      <c r="L142" s="775">
        <v>1</v>
      </c>
      <c r="M142" s="775">
        <v>1</v>
      </c>
      <c r="N142" s="775">
        <v>1</v>
      </c>
      <c r="O142" s="775">
        <v>1</v>
      </c>
      <c r="P142" s="775">
        <v>1</v>
      </c>
      <c r="Q142" s="775">
        <v>1</v>
      </c>
      <c r="R142" s="775">
        <v>1</v>
      </c>
      <c r="S142" s="667"/>
      <c r="T142" s="221">
        <f t="shared" si="298"/>
        <v>1</v>
      </c>
      <c r="U142" s="166"/>
      <c r="V142" s="167"/>
      <c r="W142" s="167"/>
      <c r="X142" s="167"/>
      <c r="Y142" s="168"/>
      <c r="Z142" s="168">
        <f>VLOOKUP(B142,'Manuell filtrering og justering'!$A$7:$H$253,'Manuell filtrering og justering'!$H$1,FALSE)</f>
        <v>1</v>
      </c>
      <c r="AA142" s="169">
        <f t="shared" si="300"/>
        <v>0</v>
      </c>
      <c r="AB142" s="170">
        <f>IF($AC$5='Manuell filtrering og justering'!$J$2,Z142,(T142-AA142))</f>
        <v>1</v>
      </c>
      <c r="AD142" s="171">
        <f t="shared" si="301"/>
        <v>8.0952380952380963E-3</v>
      </c>
      <c r="AE142" s="171">
        <f t="shared" si="312"/>
        <v>0</v>
      </c>
      <c r="AF142" s="171">
        <f t="shared" si="313"/>
        <v>0</v>
      </c>
      <c r="AG142" s="171">
        <f t="shared" si="314"/>
        <v>0</v>
      </c>
      <c r="AI142" s="1067">
        <f>IF(OR(AI241=0,AI241=AD_no),0,IF(VLOOKUP(E142,'Pre-Assessment Estimator'!$E$11:$Z$228,'Pre-Assessment Estimator'!$G$2,FALSE)&gt;AB142,AB142,VLOOKUP(E142,'Pre-Assessment Estimator'!$E$11:$Z$228,'Pre-Assessment Estimator'!$G$2,FALSE)))</f>
        <v>0</v>
      </c>
      <c r="AJ142" s="1067">
        <f>IF(OR(AJ241=0,AJ241=AD_no),0,IF(VLOOKUP(E142,'Pre-Assessment Estimator'!$E$11:$Z$228,'Pre-Assessment Estimator'!$N$2,FALSE)&gt;AB142,AB142,VLOOKUP(E142,'Pre-Assessment Estimator'!$E$11:$Z$228,'Pre-Assessment Estimator'!$N$2,FALSE)))</f>
        <v>0</v>
      </c>
      <c r="AK142" s="1067">
        <f>IF(OR(AK241=0,AK241=AD_no),0,IF(VLOOKUP(E142,'Pre-Assessment Estimator'!$E$11:$Z$228,'Pre-Assessment Estimator'!$U$2,FALSE)&gt;AB142,AB142,VLOOKUP(E142,'Pre-Assessment Estimator'!$E$11:$Z$228,'Pre-Assessment Estimator'!$U$2,FALSE)))</f>
        <v>0</v>
      </c>
      <c r="AM142" s="1192">
        <v>1</v>
      </c>
      <c r="AN142" s="1193">
        <v>1</v>
      </c>
      <c r="AO142" s="1193">
        <v>1</v>
      </c>
      <c r="AP142" s="293">
        <v>1</v>
      </c>
      <c r="AQ142" s="294">
        <v>1</v>
      </c>
      <c r="AR142" s="139"/>
      <c r="AS142" s="1192">
        <v>1</v>
      </c>
      <c r="AT142" s="1193">
        <v>1</v>
      </c>
      <c r="AU142" s="1193">
        <v>1</v>
      </c>
      <c r="AV142" s="293">
        <v>1</v>
      </c>
      <c r="AW142" s="294">
        <v>1</v>
      </c>
      <c r="AY142" s="188"/>
      <c r="AZ142" s="189"/>
      <c r="BA142" s="189"/>
      <c r="BB142" s="183">
        <f>IF($AB142=0,0,IF($E$6=$H$9,AV142,AP142))</f>
        <v>1</v>
      </c>
      <c r="BC142" s="183">
        <f>IF($AB142=0,0,IF($E$6=$H$9,AW142,AQ142))</f>
        <v>1</v>
      </c>
      <c r="BD142" s="182">
        <f t="shared" si="336"/>
        <v>3</v>
      </c>
      <c r="BE142" s="164" t="str">
        <f t="shared" si="308"/>
        <v>Very Good</v>
      </c>
      <c r="BF142" s="185"/>
      <c r="BG142" s="182">
        <f t="shared" si="337"/>
        <v>3</v>
      </c>
      <c r="BH142" s="164" t="str">
        <f t="shared" si="310"/>
        <v>Very Good</v>
      </c>
      <c r="BI142" s="185"/>
      <c r="BJ142" s="182">
        <f t="shared" si="338"/>
        <v>3</v>
      </c>
      <c r="BK142" s="164" t="str">
        <f t="shared" si="311"/>
        <v>Very Good</v>
      </c>
      <c r="BL142" s="185"/>
      <c r="BO142" s="167"/>
      <c r="BP142" s="167"/>
      <c r="BQ142" s="167" t="str">
        <f t="shared" si="342"/>
        <v/>
      </c>
      <c r="BR142" s="167">
        <f t="shared" si="198"/>
        <v>9</v>
      </c>
      <c r="BS142" s="167">
        <f t="shared" si="199"/>
        <v>9</v>
      </c>
      <c r="BT142" s="167">
        <f t="shared" si="200"/>
        <v>9</v>
      </c>
      <c r="BW142" s="167"/>
      <c r="BX142" s="167"/>
      <c r="BY142" s="230"/>
      <c r="BZ142" s="167"/>
      <c r="CA142" s="680"/>
      <c r="CB142" s="167"/>
      <c r="CE142" s="99"/>
      <c r="CG142" s="681"/>
    </row>
    <row r="143" spans="1:85" x14ac:dyDescent="0.25">
      <c r="A143" s="96">
        <v>135</v>
      </c>
      <c r="B143" s="96" t="str">
        <f t="shared" si="343"/>
        <v>Mat 05e</v>
      </c>
      <c r="C143" s="96" t="str">
        <f t="shared" si="344"/>
        <v>Mat 05</v>
      </c>
      <c r="D143" s="188" t="s">
        <v>693</v>
      </c>
      <c r="E143" s="1123" t="s">
        <v>1003</v>
      </c>
      <c r="F143" s="775">
        <v>1</v>
      </c>
      <c r="G143" s="775">
        <v>1</v>
      </c>
      <c r="H143" s="775">
        <v>1</v>
      </c>
      <c r="I143" s="775">
        <v>1</v>
      </c>
      <c r="J143" s="775">
        <v>1</v>
      </c>
      <c r="K143" s="775">
        <v>1</v>
      </c>
      <c r="L143" s="775">
        <v>1</v>
      </c>
      <c r="M143" s="775">
        <v>1</v>
      </c>
      <c r="N143" s="775">
        <v>1</v>
      </c>
      <c r="O143" s="775">
        <v>1</v>
      </c>
      <c r="P143" s="775">
        <v>1</v>
      </c>
      <c r="Q143" s="775">
        <v>1</v>
      </c>
      <c r="R143" s="775">
        <v>1</v>
      </c>
      <c r="S143" s="667"/>
      <c r="T143" s="221">
        <f t="shared" si="298"/>
        <v>1</v>
      </c>
      <c r="U143" s="166"/>
      <c r="V143" s="167"/>
      <c r="W143" s="167"/>
      <c r="X143" s="167"/>
      <c r="Y143" s="168"/>
      <c r="Z143" s="168">
        <f>VLOOKUP(B143,'Manuell filtrering og justering'!$A$7:$H$253,'Manuell filtrering og justering'!$H$1,FALSE)</f>
        <v>1</v>
      </c>
      <c r="AA143" s="169">
        <f t="shared" si="300"/>
        <v>0</v>
      </c>
      <c r="AB143" s="170">
        <f>IF($AC$5='Manuell filtrering og justering'!$J$2,Z143,(T143-AA143))</f>
        <v>1</v>
      </c>
      <c r="AD143" s="171">
        <f t="shared" si="301"/>
        <v>8.0952380952380963E-3</v>
      </c>
      <c r="AE143" s="171">
        <f t="shared" ref="AE143" si="345">IF(AB143=0,0,(AD143/AB143)*AI143)</f>
        <v>0</v>
      </c>
      <c r="AF143" s="171">
        <f t="shared" ref="AF143" si="346">IF(AB143=0,0,(AD143/AB143)*AJ143)</f>
        <v>0</v>
      </c>
      <c r="AG143" s="171">
        <f t="shared" ref="AG143" si="347">IF(AB143=0,0,(AD143/AB143)*AK143)</f>
        <v>0</v>
      </c>
      <c r="AI143" s="1067">
        <f>IF(AI241=AD_no,0,IF(VLOOKUP(E143,'Pre-Assessment Estimator'!$E$11:$Z$228,'Pre-Assessment Estimator'!$G$2,FALSE)&gt;AB143,AB143,VLOOKUP(E143,'Pre-Assessment Estimator'!$E$11:$Z$228,'Pre-Assessment Estimator'!$G$2,FALSE)))</f>
        <v>0</v>
      </c>
      <c r="AJ143" s="1067">
        <f>IF(AJ241=AD_no,0,IF(VLOOKUP(E143,'Pre-Assessment Estimator'!$E$11:$Z$228,'Pre-Assessment Estimator'!$N$2,FALSE)&gt;AB143,AB143,VLOOKUP(E143,'Pre-Assessment Estimator'!$E$11:$Z$228,'Pre-Assessment Estimator'!$N$2,FALSE)))</f>
        <v>0</v>
      </c>
      <c r="AK143" s="1067">
        <f>IF(AK241=AD_no,0,IF(VLOOKUP(E143,'Pre-Assessment Estimator'!$E$11:$Z$228,'Pre-Assessment Estimator'!$U$2,FALSE)&gt;AB143,AB143,VLOOKUP(E143,'Pre-Assessment Estimator'!$E$11:$Z$228,'Pre-Assessment Estimator'!$U$2,FALSE)))</f>
        <v>0</v>
      </c>
      <c r="AM143" s="292"/>
      <c r="AN143" s="293"/>
      <c r="AO143" s="293"/>
      <c r="AP143" s="293"/>
      <c r="AQ143" s="294"/>
      <c r="AR143" s="139"/>
      <c r="AS143" s="292"/>
      <c r="AT143" s="293"/>
      <c r="AU143" s="293"/>
      <c r="AV143" s="293"/>
      <c r="AW143" s="294"/>
      <c r="AY143" s="188"/>
      <c r="AZ143" s="189"/>
      <c r="BA143" s="189"/>
      <c r="BB143" s="189"/>
      <c r="BC143" s="717"/>
      <c r="BD143" s="182">
        <f t="shared" ref="BD143" si="348">IF(BC143=0,9,IF(AI143&gt;=BC143,5,IF(AI143&gt;=BB143,4,IF(AI143&gt;=BA143,3,IF(AI143&gt;=AZ143,2,IF(AI143&lt;AY143,0,1))))))</f>
        <v>9</v>
      </c>
      <c r="BE143" s="164" t="str">
        <f t="shared" si="308"/>
        <v>N/A</v>
      </c>
      <c r="BF143" s="185"/>
      <c r="BG143" s="182">
        <f t="shared" ref="BG143" si="349">IF(BC143=0,9,IF(AJ143&gt;=BC143,5,IF(AJ143&gt;=BB143,4,IF(AJ143&gt;=BA143,3,IF(AJ143&gt;=AZ143,2,IF(AJ143&lt;AY143,0,1))))))</f>
        <v>9</v>
      </c>
      <c r="BH143" s="164" t="str">
        <f t="shared" si="310"/>
        <v>N/A</v>
      </c>
      <c r="BI143" s="185"/>
      <c r="BJ143" s="182">
        <f t="shared" ref="BJ143" si="350">IF(BC143=0,9,IF(AK143&gt;=BC143,5,IF(AK143&gt;=BB143,4,IF(AK143&gt;=BA143,3,IF(AK143&gt;=AZ143,2,IF(AK143&lt;AY143,0,1))))))</f>
        <v>9</v>
      </c>
      <c r="BK143" s="164" t="str">
        <f t="shared" si="311"/>
        <v>N/A</v>
      </c>
      <c r="BL143" s="185"/>
      <c r="BO143" s="167"/>
      <c r="BP143" s="167"/>
      <c r="BQ143" s="167" t="str">
        <f t="shared" si="342"/>
        <v/>
      </c>
      <c r="BR143" s="167">
        <f t="shared" si="198"/>
        <v>9</v>
      </c>
      <c r="BS143" s="167">
        <f t="shared" si="199"/>
        <v>9</v>
      </c>
      <c r="BT143" s="167">
        <f t="shared" si="200"/>
        <v>9</v>
      </c>
      <c r="BW143" s="167"/>
      <c r="BX143" s="167"/>
      <c r="BY143" s="230"/>
      <c r="BZ143" s="167"/>
      <c r="CA143" s="680"/>
      <c r="CB143" s="167"/>
      <c r="CE143" s="99"/>
      <c r="CG143" s="681"/>
    </row>
    <row r="144" spans="1:85" x14ac:dyDescent="0.25">
      <c r="A144" s="96">
        <v>136</v>
      </c>
      <c r="B144" s="137" t="str">
        <f>D144</f>
        <v>Mat 06</v>
      </c>
      <c r="C144" s="137" t="str">
        <f>B144</f>
        <v>Mat 06</v>
      </c>
      <c r="D144" s="946" t="s">
        <v>175</v>
      </c>
      <c r="E144" s="832" t="s">
        <v>466</v>
      </c>
      <c r="F144" s="933">
        <f>SUM(F145:F147)</f>
        <v>3</v>
      </c>
      <c r="G144" s="933">
        <f t="shared" ref="G144:R144" si="351">SUM(G145:G147)</f>
        <v>3</v>
      </c>
      <c r="H144" s="933">
        <f t="shared" si="351"/>
        <v>3</v>
      </c>
      <c r="I144" s="933">
        <f t="shared" si="351"/>
        <v>3</v>
      </c>
      <c r="J144" s="933">
        <f t="shared" si="351"/>
        <v>3</v>
      </c>
      <c r="K144" s="933">
        <f t="shared" si="351"/>
        <v>3</v>
      </c>
      <c r="L144" s="933">
        <f t="shared" si="351"/>
        <v>3</v>
      </c>
      <c r="M144" s="933">
        <f t="shared" si="351"/>
        <v>3</v>
      </c>
      <c r="N144" s="933">
        <f t="shared" si="351"/>
        <v>3</v>
      </c>
      <c r="O144" s="933">
        <f t="shared" si="351"/>
        <v>3</v>
      </c>
      <c r="P144" s="933">
        <f t="shared" si="351"/>
        <v>3</v>
      </c>
      <c r="Q144" s="933">
        <f t="shared" ref="Q144" si="352">SUM(Q145:Q147)</f>
        <v>3</v>
      </c>
      <c r="R144" s="933">
        <f t="shared" si="351"/>
        <v>3</v>
      </c>
      <c r="S144" s="137"/>
      <c r="T144" s="963">
        <f t="shared" si="298"/>
        <v>3</v>
      </c>
      <c r="U144" s="222">
        <f>U145</f>
        <v>0</v>
      </c>
      <c r="V144" s="230"/>
      <c r="W144" s="230"/>
      <c r="X144" s="230">
        <f>'Manuell filtrering og justering'!E63</f>
        <v>0</v>
      </c>
      <c r="Y144" s="230"/>
      <c r="Z144" s="958">
        <f t="shared" ref="Z144" si="353">SUM(Z145:Z147)</f>
        <v>3</v>
      </c>
      <c r="AA144" s="963">
        <f t="shared" si="300"/>
        <v>0</v>
      </c>
      <c r="AB144" s="1066">
        <f>SUM(AB145:AB147)</f>
        <v>3</v>
      </c>
      <c r="AD144" s="171">
        <f t="shared" si="301"/>
        <v>2.4285714285714289E-2</v>
      </c>
      <c r="AE144" s="921">
        <f>SUM(AE145:AE147)</f>
        <v>0</v>
      </c>
      <c r="AF144" s="921">
        <f t="shared" ref="AF144" si="354">SUM(AF145:AF147)</f>
        <v>0</v>
      </c>
      <c r="AG144" s="921">
        <f t="shared" ref="AG144" si="355">SUM(AG145:AG147)</f>
        <v>0</v>
      </c>
      <c r="AI144" s="958">
        <f t="shared" ref="AI144" si="356">SUM(AI145:AI147)</f>
        <v>0</v>
      </c>
      <c r="AJ144" s="958">
        <f t="shared" ref="AJ144" si="357">SUM(AJ145:AJ147)</f>
        <v>0</v>
      </c>
      <c r="AK144" s="958">
        <f t="shared" ref="AK144" si="358">SUM(AK145:AK147)</f>
        <v>0</v>
      </c>
      <c r="AM144" s="292"/>
      <c r="AN144" s="293"/>
      <c r="AO144" s="293"/>
      <c r="AP144" s="293"/>
      <c r="AQ144" s="294"/>
      <c r="AR144" s="139"/>
      <c r="AS144" s="292"/>
      <c r="AT144" s="293"/>
      <c r="AU144" s="293"/>
      <c r="AV144" s="293"/>
      <c r="AW144" s="294"/>
      <c r="AY144" s="188"/>
      <c r="AZ144" s="189"/>
      <c r="BA144" s="189"/>
      <c r="BB144" s="189"/>
      <c r="BC144" s="717"/>
      <c r="BD144" s="182">
        <f t="shared" si="336"/>
        <v>9</v>
      </c>
      <c r="BE144" s="164" t="str">
        <f t="shared" si="308"/>
        <v>N/A</v>
      </c>
      <c r="BF144" s="185"/>
      <c r="BG144" s="182">
        <f t="shared" si="337"/>
        <v>9</v>
      </c>
      <c r="BH144" s="164" t="str">
        <f t="shared" si="310"/>
        <v>N/A</v>
      </c>
      <c r="BI144" s="185"/>
      <c r="BJ144" s="182">
        <f t="shared" si="338"/>
        <v>9</v>
      </c>
      <c r="BK144" s="164" t="str">
        <f t="shared" si="311"/>
        <v>N/A</v>
      </c>
      <c r="BL144" s="185"/>
      <c r="BO144" s="167"/>
      <c r="BP144" s="167"/>
      <c r="BQ144" s="167" t="str">
        <f t="shared" si="342"/>
        <v/>
      </c>
      <c r="BR144" s="167">
        <f t="shared" si="198"/>
        <v>9</v>
      </c>
      <c r="BS144" s="167">
        <f t="shared" si="199"/>
        <v>9</v>
      </c>
      <c r="BT144" s="167">
        <f t="shared" si="200"/>
        <v>9</v>
      </c>
      <c r="BW144" s="289" t="str">
        <f>D144</f>
        <v>Mat 06</v>
      </c>
      <c r="BX144" s="289">
        <f>IFERROR(VLOOKUP($E144,'Pre-Assessment Estimator'!$E$11:$AB$228,'Pre-Assessment Estimator'!AB$2,FALSE),"")</f>
        <v>0</v>
      </c>
      <c r="BY144" s="289">
        <f>IFERROR(VLOOKUP($E144,'Pre-Assessment Estimator'!$E$11:$AI$228,'Pre-Assessment Estimator'!AI$2,FALSE),"")</f>
        <v>0</v>
      </c>
      <c r="BZ144" s="289" t="str">
        <f>IFERROR(VLOOKUP($BX144,$E$294:$H$327,F$292,FALSE),"")</f>
        <v/>
      </c>
      <c r="CA144" s="289" t="str">
        <f>IFERROR(VLOOKUP($BX144,$E$294:$H$327,G$292,FALSE),"")</f>
        <v/>
      </c>
      <c r="CB144" s="289"/>
      <c r="CC144" s="96" t="str">
        <f>IFERROR(VLOOKUP($BX144,$E$294:$H$327,I$292,FALSE),"")</f>
        <v/>
      </c>
    </row>
    <row r="145" spans="1:81" x14ac:dyDescent="0.25">
      <c r="A145" s="96">
        <v>137</v>
      </c>
      <c r="B145" s="96" t="str">
        <f t="shared" ref="B145:B147" si="359">$D$144&amp;D145</f>
        <v>Mat 06a</v>
      </c>
      <c r="C145" s="96" t="str">
        <f t="shared" si="344"/>
        <v>Mat 06</v>
      </c>
      <c r="D145" s="947" t="s">
        <v>692</v>
      </c>
      <c r="E145" s="1253" t="s">
        <v>658</v>
      </c>
      <c r="F145" s="775">
        <v>1</v>
      </c>
      <c r="G145" s="775">
        <v>1</v>
      </c>
      <c r="H145" s="775">
        <v>1</v>
      </c>
      <c r="I145" s="775">
        <v>1</v>
      </c>
      <c r="J145" s="775">
        <v>1</v>
      </c>
      <c r="K145" s="775">
        <v>1</v>
      </c>
      <c r="L145" s="775">
        <v>1</v>
      </c>
      <c r="M145" s="775">
        <v>1</v>
      </c>
      <c r="N145" s="775">
        <v>1</v>
      </c>
      <c r="O145" s="775">
        <v>1</v>
      </c>
      <c r="P145" s="775">
        <v>1</v>
      </c>
      <c r="Q145" s="775">
        <v>1</v>
      </c>
      <c r="R145" s="775">
        <v>1</v>
      </c>
      <c r="S145" s="137"/>
      <c r="T145" s="221">
        <f t="shared" si="298"/>
        <v>1</v>
      </c>
      <c r="U145" s="192">
        <f>IF('Assessment Details'!F26=AD_no,Poeng!T145,0)</f>
        <v>0</v>
      </c>
      <c r="V145" s="193"/>
      <c r="W145" s="193"/>
      <c r="X145" s="167"/>
      <c r="Y145" s="168"/>
      <c r="Z145" s="168">
        <f>VLOOKUP(B145,'Manuell filtrering og justering'!$A$7:$H$253,'Manuell filtrering og justering'!$H$1,FALSE)</f>
        <v>1</v>
      </c>
      <c r="AA145" s="169">
        <f t="shared" si="300"/>
        <v>0</v>
      </c>
      <c r="AB145" s="170">
        <f>IF($AC$5='Manuell filtrering og justering'!$J$2,Z145,(T145-AA145))</f>
        <v>1</v>
      </c>
      <c r="AD145" s="171">
        <f t="shared" si="301"/>
        <v>8.0952380952380963E-3</v>
      </c>
      <c r="AE145" s="171">
        <f t="shared" si="312"/>
        <v>0</v>
      </c>
      <c r="AF145" s="171">
        <f t="shared" si="313"/>
        <v>0</v>
      </c>
      <c r="AG145" s="171">
        <f t="shared" si="314"/>
        <v>0</v>
      </c>
      <c r="AI145" s="172">
        <f>IF(VLOOKUP(E145,'Pre-Assessment Estimator'!$E$11:$Z$228,'Pre-Assessment Estimator'!$G$2,FALSE)&gt;AB145,AB145,VLOOKUP(E145,'Pre-Assessment Estimator'!$E$11:$Z$228,'Pre-Assessment Estimator'!$G$2,FALSE))</f>
        <v>0</v>
      </c>
      <c r="AJ145" s="172">
        <f>IF(VLOOKUP(E145,'Pre-Assessment Estimator'!$E$11:$Z$228,'Pre-Assessment Estimator'!$N$2,FALSE)&gt;AB145,AB145,VLOOKUP(E145,'Pre-Assessment Estimator'!$E$11:$Z$228,'Pre-Assessment Estimator'!$N$2,FALSE))</f>
        <v>0</v>
      </c>
      <c r="AK145" s="172">
        <f>IF(VLOOKUP(E145,'Pre-Assessment Estimator'!$E$11:$Z$228,'Pre-Assessment Estimator'!$U$2,FALSE)&gt;AB145,AB145,VLOOKUP(E145,'Pre-Assessment Estimator'!$E$11:$Z$228,'Pre-Assessment Estimator'!$U$2,FALSE))</f>
        <v>0</v>
      </c>
      <c r="AM145" s="850">
        <v>1</v>
      </c>
      <c r="AN145" s="851">
        <v>1</v>
      </c>
      <c r="AO145" s="851">
        <v>1</v>
      </c>
      <c r="AP145" s="851">
        <v>1</v>
      </c>
      <c r="AQ145" s="843">
        <v>1</v>
      </c>
      <c r="AR145" s="139"/>
      <c r="AS145" s="850"/>
      <c r="AT145" s="851"/>
      <c r="AU145" s="851"/>
      <c r="AV145" s="851">
        <v>1</v>
      </c>
      <c r="AW145" s="843">
        <v>1</v>
      </c>
      <c r="AY145" s="183">
        <f>IF($AB145=0,0,IF($E$6=$H$9,AS145,AM145))</f>
        <v>1</v>
      </c>
      <c r="AZ145" s="183">
        <f>IF($AB145=0,0,IF($E$6=$H$9,AT145,AN145))</f>
        <v>1</v>
      </c>
      <c r="BA145" s="183">
        <f>IF($AB145=0,0,IF($E$6=$H$9,AU145,AO145))</f>
        <v>1</v>
      </c>
      <c r="BB145" s="183">
        <f>IF($AB145=0,0,IF($E$6=$H$9,AV145,AP145))</f>
        <v>1</v>
      </c>
      <c r="BC145" s="183">
        <f>IF($AB145=0,0,IF($E$6=$H$9,AW145,AQ145))</f>
        <v>1</v>
      </c>
      <c r="BD145" s="1005">
        <f>IF('Assessment Details'!F26=AD_no,9,IF(AND(AI145=1,AI250=AD_Yes),5,IF(AI250=AD_Yes,3,0)))</f>
        <v>0</v>
      </c>
      <c r="BE145" s="164" t="str">
        <f t="shared" si="308"/>
        <v>Unclassified</v>
      </c>
      <c r="BF145" s="185"/>
      <c r="BG145" s="1005">
        <f>IF('Assessment Details'!F26=AD_no,9,IF(AND(AJ145=1,AJ250=AD_Yes),5,IF(AJ250=AD_Yes,3,0)))</f>
        <v>0</v>
      </c>
      <c r="BH145" s="164" t="str">
        <f t="shared" si="310"/>
        <v>Unclassified</v>
      </c>
      <c r="BI145" s="185"/>
      <c r="BJ145" s="1005">
        <f>IF('Assessment Details'!F26=AD_no,9,IF(AND(AK145=1,AK250=AD_Yes),5,IF(AK250=AD_Yes,3,0)))</f>
        <v>0</v>
      </c>
      <c r="BK145" s="164" t="str">
        <f t="shared" si="311"/>
        <v>Unclassified</v>
      </c>
      <c r="BL145" s="847"/>
      <c r="BO145" s="167"/>
      <c r="BP145" s="167"/>
      <c r="BQ145" s="167" t="str">
        <f t="shared" si="342"/>
        <v/>
      </c>
      <c r="BR145" s="167">
        <f t="shared" ref="BR145" si="360">IF(BQ145="",9,(IF(AI145&gt;=BQ145,5,0)))</f>
        <v>9</v>
      </c>
      <c r="BS145" s="167">
        <f t="shared" ref="BS145" si="361">IF(BQ145="",9,(IF(AJ145&gt;=BQ145,5,0)))</f>
        <v>9</v>
      </c>
      <c r="BT145" s="167">
        <f t="shared" ref="BT145" si="362">IF(BQ145="",9,(IF(AK145&gt;=BQ145,5,0)))</f>
        <v>9</v>
      </c>
      <c r="BW145" s="707"/>
      <c r="BX145" s="707"/>
      <c r="BY145" s="707"/>
      <c r="BZ145" s="707"/>
      <c r="CA145" s="707"/>
      <c r="CB145" s="707"/>
    </row>
    <row r="146" spans="1:81" x14ac:dyDescent="0.25">
      <c r="A146" s="96">
        <v>138</v>
      </c>
      <c r="B146" s="96" t="str">
        <f t="shared" si="359"/>
        <v>Mat 06b</v>
      </c>
      <c r="C146" s="96" t="str">
        <f t="shared" si="344"/>
        <v>Mat 06</v>
      </c>
      <c r="D146" s="947" t="s">
        <v>695</v>
      </c>
      <c r="E146" s="1123" t="s">
        <v>659</v>
      </c>
      <c r="F146" s="775">
        <v>1</v>
      </c>
      <c r="G146" s="775">
        <v>1</v>
      </c>
      <c r="H146" s="775">
        <v>1</v>
      </c>
      <c r="I146" s="775">
        <v>1</v>
      </c>
      <c r="J146" s="775">
        <v>1</v>
      </c>
      <c r="K146" s="775">
        <v>1</v>
      </c>
      <c r="L146" s="775">
        <v>1</v>
      </c>
      <c r="M146" s="775">
        <v>1</v>
      </c>
      <c r="N146" s="775">
        <v>1</v>
      </c>
      <c r="O146" s="775">
        <v>1</v>
      </c>
      <c r="P146" s="775">
        <v>1</v>
      </c>
      <c r="Q146" s="775">
        <v>1</v>
      </c>
      <c r="R146" s="775">
        <v>1</v>
      </c>
      <c r="S146" s="137"/>
      <c r="T146" s="221">
        <f t="shared" si="298"/>
        <v>1</v>
      </c>
      <c r="U146" s="192"/>
      <c r="V146" s="193"/>
      <c r="W146" s="193"/>
      <c r="X146" s="167"/>
      <c r="Y146" s="168"/>
      <c r="Z146" s="168">
        <f>VLOOKUP(B146,'Manuell filtrering og justering'!$A$7:$H$253,'Manuell filtrering og justering'!$H$1,FALSE)</f>
        <v>1</v>
      </c>
      <c r="AA146" s="169">
        <f t="shared" si="300"/>
        <v>0</v>
      </c>
      <c r="AB146" s="170">
        <f>IF($AC$5='Manuell filtrering og justering'!$J$2,Z146,(T146-AA146))</f>
        <v>1</v>
      </c>
      <c r="AD146" s="171">
        <f t="shared" si="301"/>
        <v>8.0952380952380963E-3</v>
      </c>
      <c r="AE146" s="171">
        <f t="shared" si="312"/>
        <v>0</v>
      </c>
      <c r="AF146" s="171">
        <f t="shared" si="313"/>
        <v>0</v>
      </c>
      <c r="AG146" s="171">
        <f t="shared" si="314"/>
        <v>0</v>
      </c>
      <c r="AI146" s="172">
        <f>IF(VLOOKUP(E146,'Pre-Assessment Estimator'!$E$11:$Z$228,'Pre-Assessment Estimator'!$G$2,FALSE)&gt;AB146,AB146,VLOOKUP(E146,'Pre-Assessment Estimator'!$E$11:$Z$228,'Pre-Assessment Estimator'!$G$2,FALSE))</f>
        <v>0</v>
      </c>
      <c r="AJ146" s="172">
        <f>IF(VLOOKUP(E146,'Pre-Assessment Estimator'!$E$11:$Z$228,'Pre-Assessment Estimator'!$N$2,FALSE)&gt;AB146,AB146,VLOOKUP(E146,'Pre-Assessment Estimator'!$E$11:$Z$228,'Pre-Assessment Estimator'!$N$2,FALSE))</f>
        <v>0</v>
      </c>
      <c r="AK146" s="172">
        <f>IF(VLOOKUP(E146,'Pre-Assessment Estimator'!$E$11:$Z$228,'Pre-Assessment Estimator'!$U$2,FALSE)&gt;AB146,AB146,VLOOKUP(E146,'Pre-Assessment Estimator'!$E$11:$Z$228,'Pre-Assessment Estimator'!$U$2,FALSE))</f>
        <v>0</v>
      </c>
      <c r="AM146" s="850"/>
      <c r="AN146" s="851"/>
      <c r="AO146" s="851"/>
      <c r="AP146" s="851"/>
      <c r="AQ146" s="843"/>
      <c r="AR146" s="139"/>
      <c r="AS146" s="850"/>
      <c r="AT146" s="851"/>
      <c r="AU146" s="851"/>
      <c r="AV146" s="851"/>
      <c r="AW146" s="843"/>
      <c r="AY146" s="731"/>
      <c r="AZ146" s="733"/>
      <c r="BA146" s="733"/>
      <c r="BB146" s="733"/>
      <c r="BC146" s="856"/>
      <c r="BD146" s="182">
        <f t="shared" si="336"/>
        <v>9</v>
      </c>
      <c r="BE146" s="164" t="str">
        <f t="shared" si="308"/>
        <v>N/A</v>
      </c>
      <c r="BF146" s="185"/>
      <c r="BG146" s="182">
        <f t="shared" si="337"/>
        <v>9</v>
      </c>
      <c r="BH146" s="164" t="str">
        <f t="shared" si="310"/>
        <v>N/A</v>
      </c>
      <c r="BI146" s="185"/>
      <c r="BJ146" s="182">
        <f t="shared" si="338"/>
        <v>9</v>
      </c>
      <c r="BK146" s="164" t="str">
        <f t="shared" si="311"/>
        <v>N/A</v>
      </c>
      <c r="BL146" s="847"/>
      <c r="BO146" s="167"/>
      <c r="BP146" s="167"/>
      <c r="BQ146" s="167" t="str">
        <f t="shared" si="342"/>
        <v/>
      </c>
      <c r="BR146" s="167">
        <f t="shared" si="198"/>
        <v>9</v>
      </c>
      <c r="BS146" s="167">
        <f t="shared" si="199"/>
        <v>9</v>
      </c>
      <c r="BT146" s="167">
        <f t="shared" si="200"/>
        <v>9</v>
      </c>
      <c r="BW146" s="707"/>
      <c r="BX146" s="707"/>
      <c r="BY146" s="707"/>
      <c r="BZ146" s="707"/>
      <c r="CA146" s="707"/>
      <c r="CB146" s="707"/>
    </row>
    <row r="147" spans="1:81" x14ac:dyDescent="0.25">
      <c r="A147" s="96">
        <v>139</v>
      </c>
      <c r="B147" s="96" t="str">
        <f t="shared" si="359"/>
        <v>Mat 06c</v>
      </c>
      <c r="C147" s="96" t="str">
        <f t="shared" si="344"/>
        <v>Mat 06</v>
      </c>
      <c r="D147" s="947" t="s">
        <v>696</v>
      </c>
      <c r="E147" s="1123" t="s">
        <v>660</v>
      </c>
      <c r="F147" s="775">
        <v>1</v>
      </c>
      <c r="G147" s="775">
        <v>1</v>
      </c>
      <c r="H147" s="775">
        <v>1</v>
      </c>
      <c r="I147" s="775">
        <v>1</v>
      </c>
      <c r="J147" s="775">
        <v>1</v>
      </c>
      <c r="K147" s="775">
        <v>1</v>
      </c>
      <c r="L147" s="775">
        <v>1</v>
      </c>
      <c r="M147" s="775">
        <v>1</v>
      </c>
      <c r="N147" s="775">
        <v>1</v>
      </c>
      <c r="O147" s="775">
        <v>1</v>
      </c>
      <c r="P147" s="775">
        <v>1</v>
      </c>
      <c r="Q147" s="775">
        <v>1</v>
      </c>
      <c r="R147" s="775">
        <v>1</v>
      </c>
      <c r="S147" s="137"/>
      <c r="T147" s="221">
        <f t="shared" si="298"/>
        <v>1</v>
      </c>
      <c r="U147" s="192"/>
      <c r="V147" s="193"/>
      <c r="W147" s="193"/>
      <c r="X147" s="167"/>
      <c r="Y147" s="168"/>
      <c r="Z147" s="168">
        <f>VLOOKUP(B147,'Manuell filtrering og justering'!$A$7:$H$253,'Manuell filtrering og justering'!$H$1,FALSE)</f>
        <v>1</v>
      </c>
      <c r="AA147" s="169">
        <f t="shared" si="300"/>
        <v>0</v>
      </c>
      <c r="AB147" s="170">
        <f>IF($AC$5='Manuell filtrering og justering'!$J$2,Z147,(T147-AA147))</f>
        <v>1</v>
      </c>
      <c r="AD147" s="171">
        <f t="shared" si="301"/>
        <v>8.0952380952380963E-3</v>
      </c>
      <c r="AE147" s="171">
        <f t="shared" si="312"/>
        <v>0</v>
      </c>
      <c r="AF147" s="171">
        <f t="shared" si="313"/>
        <v>0</v>
      </c>
      <c r="AG147" s="171">
        <f t="shared" si="314"/>
        <v>0</v>
      </c>
      <c r="AI147" s="172">
        <f>IF(VLOOKUP(E147,'Pre-Assessment Estimator'!$E$11:$Z$228,'Pre-Assessment Estimator'!$G$2,FALSE)&gt;AB147,AB147,VLOOKUP(E147,'Pre-Assessment Estimator'!$E$11:$Z$228,'Pre-Assessment Estimator'!$G$2,FALSE))</f>
        <v>0</v>
      </c>
      <c r="AJ147" s="172">
        <f>IF(VLOOKUP(E147,'Pre-Assessment Estimator'!$E$11:$Z$228,'Pre-Assessment Estimator'!$N$2,FALSE)&gt;AB147,AB147,VLOOKUP(E147,'Pre-Assessment Estimator'!$E$11:$Z$228,'Pre-Assessment Estimator'!$N$2,FALSE))</f>
        <v>0</v>
      </c>
      <c r="AK147" s="172">
        <f>IF(VLOOKUP(E147,'Pre-Assessment Estimator'!$E$11:$Z$228,'Pre-Assessment Estimator'!$U$2,FALSE)&gt;AB147,AB147,VLOOKUP(E147,'Pre-Assessment Estimator'!$E$11:$Z$228,'Pre-Assessment Estimator'!$U$2,FALSE))</f>
        <v>0</v>
      </c>
      <c r="AM147" s="850"/>
      <c r="AN147" s="851"/>
      <c r="AO147" s="851"/>
      <c r="AP147" s="851"/>
      <c r="AQ147" s="843"/>
      <c r="AR147" s="139"/>
      <c r="AS147" s="850"/>
      <c r="AT147" s="851"/>
      <c r="AU147" s="851"/>
      <c r="AV147" s="851"/>
      <c r="AW147" s="843"/>
      <c r="AY147" s="731"/>
      <c r="AZ147" s="733"/>
      <c r="BA147" s="733"/>
      <c r="BB147" s="733"/>
      <c r="BC147" s="856"/>
      <c r="BD147" s="182">
        <f t="shared" si="336"/>
        <v>9</v>
      </c>
      <c r="BE147" s="164" t="str">
        <f t="shared" si="308"/>
        <v>N/A</v>
      </c>
      <c r="BF147" s="185"/>
      <c r="BG147" s="182">
        <f t="shared" si="337"/>
        <v>9</v>
      </c>
      <c r="BH147" s="164" t="str">
        <f t="shared" si="310"/>
        <v>N/A</v>
      </c>
      <c r="BI147" s="185"/>
      <c r="BJ147" s="182">
        <f t="shared" si="338"/>
        <v>9</v>
      </c>
      <c r="BK147" s="164" t="str">
        <f t="shared" si="311"/>
        <v>N/A</v>
      </c>
      <c r="BL147" s="847"/>
      <c r="BO147" s="167"/>
      <c r="BP147" s="167"/>
      <c r="BQ147" s="167" t="str">
        <f t="shared" si="342"/>
        <v/>
      </c>
      <c r="BR147" s="167">
        <f t="shared" si="198"/>
        <v>9</v>
      </c>
      <c r="BS147" s="167">
        <f t="shared" si="199"/>
        <v>9</v>
      </c>
      <c r="BT147" s="167">
        <f t="shared" si="200"/>
        <v>9</v>
      </c>
      <c r="BW147" s="707"/>
      <c r="BX147" s="707"/>
      <c r="BY147" s="707"/>
      <c r="BZ147" s="707"/>
      <c r="CA147" s="707"/>
      <c r="CB147" s="707"/>
    </row>
    <row r="148" spans="1:81" x14ac:dyDescent="0.25">
      <c r="A148" s="96">
        <v>140</v>
      </c>
      <c r="B148" s="137" t="str">
        <f>D148</f>
        <v>Mat 07</v>
      </c>
      <c r="C148" s="137" t="str">
        <f>B148</f>
        <v>Mat 07</v>
      </c>
      <c r="D148" s="946" t="s">
        <v>478</v>
      </c>
      <c r="E148" s="832" t="s">
        <v>1019</v>
      </c>
      <c r="F148" s="933">
        <f>SUM(F149:F151)</f>
        <v>3</v>
      </c>
      <c r="G148" s="933">
        <f t="shared" ref="G148:R148" si="363">SUM(G149:G151)</f>
        <v>3</v>
      </c>
      <c r="H148" s="933">
        <f t="shared" si="363"/>
        <v>3</v>
      </c>
      <c r="I148" s="933">
        <f t="shared" si="363"/>
        <v>3</v>
      </c>
      <c r="J148" s="933">
        <f t="shared" si="363"/>
        <v>3</v>
      </c>
      <c r="K148" s="933">
        <f t="shared" si="363"/>
        <v>3</v>
      </c>
      <c r="L148" s="933">
        <f t="shared" si="363"/>
        <v>3</v>
      </c>
      <c r="M148" s="933">
        <f t="shared" si="363"/>
        <v>3</v>
      </c>
      <c r="N148" s="933">
        <f t="shared" si="363"/>
        <v>3</v>
      </c>
      <c r="O148" s="933">
        <f t="shared" si="363"/>
        <v>3</v>
      </c>
      <c r="P148" s="933">
        <f t="shared" si="363"/>
        <v>3</v>
      </c>
      <c r="Q148" s="933">
        <f t="shared" ref="Q148" si="364">SUM(Q149:Q151)</f>
        <v>3</v>
      </c>
      <c r="R148" s="933">
        <f t="shared" si="363"/>
        <v>3</v>
      </c>
      <c r="T148" s="963">
        <f t="shared" si="298"/>
        <v>3</v>
      </c>
      <c r="U148" s="728"/>
      <c r="V148" s="964"/>
      <c r="W148" s="964"/>
      <c r="X148" s="230">
        <f>'Manuell filtrering og justering'!E64</f>
        <v>0</v>
      </c>
      <c r="Y148" s="230"/>
      <c r="Z148" s="958">
        <f t="shared" ref="Z148" si="365">SUM(Z149:Z151)</f>
        <v>3</v>
      </c>
      <c r="AA148" s="963">
        <f t="shared" si="300"/>
        <v>0</v>
      </c>
      <c r="AB148" s="1066">
        <f>SUM(AB149:AB151)</f>
        <v>3</v>
      </c>
      <c r="AD148" s="171">
        <f t="shared" si="301"/>
        <v>2.4285714285714289E-2</v>
      </c>
      <c r="AE148" s="921">
        <f>SUM(AE149:AE151)</f>
        <v>0</v>
      </c>
      <c r="AF148" s="921">
        <f t="shared" ref="AF148" si="366">SUM(AF149:AF151)</f>
        <v>0</v>
      </c>
      <c r="AG148" s="921">
        <f t="shared" ref="AG148" si="367">SUM(AG149:AG151)</f>
        <v>0</v>
      </c>
      <c r="AI148" s="958">
        <f t="shared" ref="AI148" si="368">SUM(AI149:AI151)</f>
        <v>0</v>
      </c>
      <c r="AJ148" s="958">
        <f t="shared" ref="AJ148" si="369">SUM(AJ149:AJ151)</f>
        <v>0</v>
      </c>
      <c r="AK148" s="958">
        <f t="shared" ref="AK148" si="370">SUM(AK149:AK151)</f>
        <v>0</v>
      </c>
      <c r="AM148" s="850"/>
      <c r="AN148" s="851"/>
      <c r="AO148" s="851"/>
      <c r="AP148" s="851"/>
      <c r="AQ148" s="843"/>
      <c r="AR148" s="139"/>
      <c r="AS148" s="850"/>
      <c r="AT148" s="851"/>
      <c r="AU148" s="851"/>
      <c r="AV148" s="851"/>
      <c r="AW148" s="843"/>
      <c r="AY148" s="731"/>
      <c r="AZ148" s="733"/>
      <c r="BA148" s="733"/>
      <c r="BB148" s="733"/>
      <c r="BC148" s="717"/>
      <c r="BD148" s="182">
        <f t="shared" ref="BD148:BD151" si="371">IF(BC148=0,9,IF(AI148&gt;=BC148,5,IF(AI148&gt;=BB148,4,IF(AI148&gt;=BA148,3,IF(AI148&gt;=AZ148,2,IF(AI148&lt;AY148,0,1))))))</f>
        <v>9</v>
      </c>
      <c r="BE148" s="164" t="str">
        <f t="shared" si="308"/>
        <v>N/A</v>
      </c>
      <c r="BF148" s="185"/>
      <c r="BG148" s="182">
        <f t="shared" ref="BG148:BG151" si="372">IF(BC148=0,9,IF(AJ148&gt;=BC148,5,IF(AJ148&gt;=BB148,4,IF(AJ148&gt;=BA148,3,IF(AJ148&gt;=AZ148,2,IF(AJ148&lt;AY148,0,1))))))</f>
        <v>9</v>
      </c>
      <c r="BH148" s="164" t="str">
        <f t="shared" si="310"/>
        <v>N/A</v>
      </c>
      <c r="BI148" s="185"/>
      <c r="BJ148" s="182">
        <f t="shared" ref="BJ148:BJ151" si="373">IF(BC148=0,9,IF(AK148&gt;=BC148,5,IF(AK148&gt;=BB148,4,IF(AK148&gt;=BA148,3,IF(AK148&gt;=AZ148,2,IF(AK148&lt;AY148,0,1))))))</f>
        <v>9</v>
      </c>
      <c r="BK148" s="164" t="str">
        <f t="shared" si="311"/>
        <v>N/A</v>
      </c>
      <c r="BL148" s="847"/>
      <c r="BO148" s="167"/>
      <c r="BP148" s="167"/>
      <c r="BQ148" s="167" t="str">
        <f t="shared" si="342"/>
        <v/>
      </c>
      <c r="BR148" s="167">
        <f t="shared" si="198"/>
        <v>9</v>
      </c>
      <c r="BS148" s="167">
        <f t="shared" si="199"/>
        <v>9</v>
      </c>
      <c r="BT148" s="167">
        <f t="shared" si="200"/>
        <v>9</v>
      </c>
      <c r="BW148" s="707" t="str">
        <f>D148</f>
        <v>Mat 07</v>
      </c>
      <c r="BX148" s="707"/>
      <c r="BY148" s="707"/>
      <c r="BZ148" s="707"/>
      <c r="CA148" s="707"/>
      <c r="CB148" s="707"/>
    </row>
    <row r="149" spans="1:81" x14ac:dyDescent="0.25">
      <c r="A149" s="96">
        <v>141</v>
      </c>
      <c r="B149" s="96" t="str">
        <f t="shared" ref="B149:B151" si="374">$D$148&amp;D149</f>
        <v>Mat 07a</v>
      </c>
      <c r="C149" s="96" t="str">
        <f t="shared" si="344"/>
        <v>Mat 07</v>
      </c>
      <c r="D149" s="947" t="s">
        <v>692</v>
      </c>
      <c r="E149" s="1123" t="s">
        <v>1020</v>
      </c>
      <c r="F149" s="775">
        <v>1</v>
      </c>
      <c r="G149" s="775">
        <v>1</v>
      </c>
      <c r="H149" s="775">
        <v>1</v>
      </c>
      <c r="I149" s="775">
        <v>1</v>
      </c>
      <c r="J149" s="775">
        <v>1</v>
      </c>
      <c r="K149" s="775">
        <v>1</v>
      </c>
      <c r="L149" s="775">
        <v>1</v>
      </c>
      <c r="M149" s="775">
        <v>1</v>
      </c>
      <c r="N149" s="775">
        <v>1</v>
      </c>
      <c r="O149" s="775">
        <v>1</v>
      </c>
      <c r="P149" s="775">
        <v>1</v>
      </c>
      <c r="Q149" s="775">
        <v>1</v>
      </c>
      <c r="R149" s="775">
        <v>1</v>
      </c>
      <c r="T149" s="221">
        <f t="shared" si="298"/>
        <v>1</v>
      </c>
      <c r="U149" s="192"/>
      <c r="V149" s="193"/>
      <c r="W149" s="193"/>
      <c r="X149" s="193"/>
      <c r="Y149" s="1164"/>
      <c r="Z149" s="168">
        <f>VLOOKUP(B149,'Manuell filtrering og justering'!$A$7:$H$253,'Manuell filtrering og justering'!$H$1,FALSE)</f>
        <v>1</v>
      </c>
      <c r="AA149" s="169">
        <f t="shared" si="300"/>
        <v>0</v>
      </c>
      <c r="AB149" s="170">
        <f>IF($AC$5='Manuell filtrering og justering'!$J$2,Z149,(T149-AA149))</f>
        <v>1</v>
      </c>
      <c r="AD149" s="171">
        <f t="shared" si="301"/>
        <v>8.0952380952380963E-3</v>
      </c>
      <c r="AE149" s="171">
        <f t="shared" si="312"/>
        <v>0</v>
      </c>
      <c r="AF149" s="171">
        <f t="shared" si="313"/>
        <v>0</v>
      </c>
      <c r="AG149" s="171">
        <f t="shared" si="314"/>
        <v>0</v>
      </c>
      <c r="AI149" s="172">
        <f>IF(VLOOKUP(E149,'Pre-Assessment Estimator'!$E$11:$Z$228,'Pre-Assessment Estimator'!$G$2,FALSE)&gt;AB149,AB149,VLOOKUP(E149,'Pre-Assessment Estimator'!$E$11:$Z$228,'Pre-Assessment Estimator'!$G$2,FALSE))</f>
        <v>0</v>
      </c>
      <c r="AJ149" s="172">
        <f>IF(VLOOKUP(E149,'Pre-Assessment Estimator'!$E$11:$Z$228,'Pre-Assessment Estimator'!$N$2,FALSE)&gt;AB149,AB149,VLOOKUP(E149,'Pre-Assessment Estimator'!$E$11:$Z$228,'Pre-Assessment Estimator'!$N$2,FALSE))</f>
        <v>0</v>
      </c>
      <c r="AK149" s="172">
        <f>IF(VLOOKUP(E149,'Pre-Assessment Estimator'!$E$11:$Z$228,'Pre-Assessment Estimator'!$U$2,FALSE)&gt;AB149,AB149,VLOOKUP(E149,'Pre-Assessment Estimator'!$E$11:$Z$228,'Pre-Assessment Estimator'!$U$2,FALSE))</f>
        <v>0</v>
      </c>
      <c r="AM149" s="850"/>
      <c r="AN149" s="851"/>
      <c r="AO149" s="851"/>
      <c r="AP149" s="851"/>
      <c r="AQ149" s="843"/>
      <c r="AR149" s="139"/>
      <c r="AS149" s="850"/>
      <c r="AT149" s="851"/>
      <c r="AU149" s="851"/>
      <c r="AV149" s="851"/>
      <c r="AW149" s="843"/>
      <c r="AY149" s="731"/>
      <c r="AZ149" s="733"/>
      <c r="BA149" s="733"/>
      <c r="BB149" s="733"/>
      <c r="BC149" s="856"/>
      <c r="BD149" s="182">
        <f t="shared" si="371"/>
        <v>9</v>
      </c>
      <c r="BE149" s="164" t="str">
        <f t="shared" si="308"/>
        <v>N/A</v>
      </c>
      <c r="BF149" s="185"/>
      <c r="BG149" s="182">
        <f t="shared" si="372"/>
        <v>9</v>
      </c>
      <c r="BH149" s="164" t="str">
        <f t="shared" si="310"/>
        <v>N/A</v>
      </c>
      <c r="BI149" s="185"/>
      <c r="BJ149" s="182">
        <f t="shared" si="373"/>
        <v>9</v>
      </c>
      <c r="BK149" s="164" t="str">
        <f t="shared" si="311"/>
        <v>N/A</v>
      </c>
      <c r="BL149" s="847"/>
      <c r="BO149" s="167"/>
      <c r="BP149" s="167"/>
      <c r="BQ149" s="167"/>
      <c r="BR149" s="167">
        <f t="shared" si="198"/>
        <v>9</v>
      </c>
      <c r="BS149" s="167">
        <f t="shared" si="199"/>
        <v>9</v>
      </c>
      <c r="BT149" s="167">
        <f t="shared" si="200"/>
        <v>9</v>
      </c>
      <c r="BW149" s="707"/>
      <c r="BX149" s="707"/>
      <c r="BY149" s="707"/>
      <c r="BZ149" s="707"/>
      <c r="CA149" s="707"/>
      <c r="CB149" s="707"/>
    </row>
    <row r="150" spans="1:81" x14ac:dyDescent="0.25">
      <c r="A150" s="96">
        <v>142</v>
      </c>
      <c r="B150" s="96" t="str">
        <f t="shared" si="374"/>
        <v>Mat 07b</v>
      </c>
      <c r="C150" s="96" t="str">
        <f t="shared" si="344"/>
        <v>Mat 07</v>
      </c>
      <c r="D150" s="947" t="s">
        <v>695</v>
      </c>
      <c r="E150" s="1253" t="s">
        <v>1078</v>
      </c>
      <c r="F150" s="775">
        <v>1</v>
      </c>
      <c r="G150" s="775">
        <v>1</v>
      </c>
      <c r="H150" s="775">
        <v>1</v>
      </c>
      <c r="I150" s="775">
        <v>1</v>
      </c>
      <c r="J150" s="775">
        <v>1</v>
      </c>
      <c r="K150" s="775">
        <v>1</v>
      </c>
      <c r="L150" s="775">
        <v>1</v>
      </c>
      <c r="M150" s="775">
        <v>1</v>
      </c>
      <c r="N150" s="775">
        <v>1</v>
      </c>
      <c r="O150" s="775">
        <v>1</v>
      </c>
      <c r="P150" s="775">
        <v>1</v>
      </c>
      <c r="Q150" s="775">
        <v>1</v>
      </c>
      <c r="R150" s="775">
        <v>1</v>
      </c>
      <c r="T150" s="221">
        <f t="shared" si="298"/>
        <v>1</v>
      </c>
      <c r="U150" s="192"/>
      <c r="V150" s="193"/>
      <c r="W150" s="193"/>
      <c r="X150" s="193"/>
      <c r="Y150" s="1164"/>
      <c r="Z150" s="168">
        <f>VLOOKUP(B150,'Manuell filtrering og justering'!$A$7:$H$253,'Manuell filtrering og justering'!$H$1,FALSE)</f>
        <v>1</v>
      </c>
      <c r="AA150" s="169">
        <f t="shared" si="300"/>
        <v>0</v>
      </c>
      <c r="AB150" s="170">
        <f>IF($AC$5='Manuell filtrering og justering'!$J$2,Z150,(T150-AA150))</f>
        <v>1</v>
      </c>
      <c r="AD150" s="171">
        <f t="shared" si="301"/>
        <v>8.0952380952380963E-3</v>
      </c>
      <c r="AE150" s="171">
        <f t="shared" si="312"/>
        <v>0</v>
      </c>
      <c r="AF150" s="171">
        <f t="shared" si="313"/>
        <v>0</v>
      </c>
      <c r="AG150" s="171">
        <f t="shared" si="314"/>
        <v>0</v>
      </c>
      <c r="AI150" s="172">
        <f>IF(VLOOKUP(E150,'Pre-Assessment Estimator'!$E$11:$Z$228,'Pre-Assessment Estimator'!$G$2,FALSE)&gt;AB150,AB150,VLOOKUP(E150,'Pre-Assessment Estimator'!$E$11:$Z$228,'Pre-Assessment Estimator'!$G$2,FALSE))</f>
        <v>0</v>
      </c>
      <c r="AJ150" s="172">
        <f>IF(VLOOKUP(E150,'Pre-Assessment Estimator'!$E$11:$Z$228,'Pre-Assessment Estimator'!$N$2,FALSE)&gt;AB150,AB150,VLOOKUP(E150,'Pre-Assessment Estimator'!$E$11:$Z$228,'Pre-Assessment Estimator'!$N$2,FALSE))</f>
        <v>0</v>
      </c>
      <c r="AK150" s="172">
        <f>IF(VLOOKUP(E150,'Pre-Assessment Estimator'!$E$11:$Z$228,'Pre-Assessment Estimator'!$U$2,FALSE)&gt;AB150,AB150,VLOOKUP(E150,'Pre-Assessment Estimator'!$E$11:$Z$228,'Pre-Assessment Estimator'!$U$2,FALSE))</f>
        <v>0</v>
      </c>
      <c r="AM150" s="850"/>
      <c r="AN150" s="851"/>
      <c r="AO150" s="851"/>
      <c r="AP150" s="851">
        <v>1</v>
      </c>
      <c r="AQ150" s="843">
        <v>1</v>
      </c>
      <c r="AR150" s="139"/>
      <c r="AS150" s="850"/>
      <c r="AT150" s="851"/>
      <c r="AU150" s="851"/>
      <c r="AV150" s="851">
        <v>1</v>
      </c>
      <c r="AW150" s="843">
        <v>1</v>
      </c>
      <c r="AY150" s="731"/>
      <c r="AZ150" s="733"/>
      <c r="BA150" s="733"/>
      <c r="BB150" s="183">
        <f>IF($AB150=0,0,IF($E$6=$H$9,AV150,AP150))</f>
        <v>1</v>
      </c>
      <c r="BC150" s="183">
        <f>IF($AB150=0,0,IF($E$6=$H$9,AW150,AQ150))</f>
        <v>1</v>
      </c>
      <c r="BD150" s="182">
        <f t="shared" si="371"/>
        <v>3</v>
      </c>
      <c r="BE150" s="164" t="str">
        <f t="shared" si="308"/>
        <v>Very Good</v>
      </c>
      <c r="BF150" s="185"/>
      <c r="BG150" s="182">
        <f t="shared" si="372"/>
        <v>3</v>
      </c>
      <c r="BH150" s="164" t="str">
        <f t="shared" si="310"/>
        <v>Very Good</v>
      </c>
      <c r="BI150" s="185"/>
      <c r="BJ150" s="182">
        <f t="shared" si="373"/>
        <v>3</v>
      </c>
      <c r="BK150" s="164" t="str">
        <f t="shared" si="311"/>
        <v>Very Good</v>
      </c>
      <c r="BL150" s="847"/>
      <c r="BO150" s="167"/>
      <c r="BP150" s="167">
        <v>1</v>
      </c>
      <c r="BQ150" s="167">
        <f t="shared" si="342"/>
        <v>1</v>
      </c>
      <c r="BR150" s="167">
        <f t="shared" si="198"/>
        <v>0</v>
      </c>
      <c r="BS150" s="167">
        <f t="shared" si="199"/>
        <v>0</v>
      </c>
      <c r="BT150" s="167">
        <f t="shared" si="200"/>
        <v>0</v>
      </c>
      <c r="BW150" s="707"/>
      <c r="BX150" s="707"/>
      <c r="BY150" s="707"/>
      <c r="BZ150" s="707"/>
      <c r="CA150" s="707"/>
      <c r="CB150" s="707"/>
    </row>
    <row r="151" spans="1:81" ht="15.75" thickBot="1" x14ac:dyDescent="0.3">
      <c r="A151" s="96">
        <v>143</v>
      </c>
      <c r="B151" s="96" t="str">
        <f t="shared" si="374"/>
        <v>Mat 07c</v>
      </c>
      <c r="C151" s="96" t="str">
        <f t="shared" si="344"/>
        <v>Mat 07</v>
      </c>
      <c r="D151" s="948" t="s">
        <v>696</v>
      </c>
      <c r="E151" s="1254" t="s">
        <v>1079</v>
      </c>
      <c r="F151" s="944">
        <v>1</v>
      </c>
      <c r="G151" s="944">
        <v>1</v>
      </c>
      <c r="H151" s="944">
        <v>1</v>
      </c>
      <c r="I151" s="944">
        <v>1</v>
      </c>
      <c r="J151" s="944">
        <v>1</v>
      </c>
      <c r="K151" s="944">
        <v>1</v>
      </c>
      <c r="L151" s="944">
        <v>1</v>
      </c>
      <c r="M151" s="944">
        <v>1</v>
      </c>
      <c r="N151" s="944">
        <v>1</v>
      </c>
      <c r="O151" s="944">
        <v>1</v>
      </c>
      <c r="P151" s="944">
        <v>1</v>
      </c>
      <c r="Q151" s="944">
        <v>1</v>
      </c>
      <c r="R151" s="944">
        <v>1</v>
      </c>
      <c r="T151" s="221">
        <f t="shared" si="298"/>
        <v>1</v>
      </c>
      <c r="U151" s="192"/>
      <c r="V151" s="193"/>
      <c r="W151" s="193"/>
      <c r="X151" s="193"/>
      <c r="Y151" s="1164"/>
      <c r="Z151" s="168">
        <f>VLOOKUP(B151,'Manuell filtrering og justering'!$A$7:$H$253,'Manuell filtrering og justering'!$H$1,FALSE)</f>
        <v>1</v>
      </c>
      <c r="AA151" s="169">
        <f t="shared" si="300"/>
        <v>0</v>
      </c>
      <c r="AB151" s="170">
        <f>IF($AC$5='Manuell filtrering og justering'!$J$2,Z151,(T151-AA151))</f>
        <v>1</v>
      </c>
      <c r="AD151" s="171">
        <f t="shared" si="301"/>
        <v>8.0952380952380963E-3</v>
      </c>
      <c r="AE151" s="171">
        <f t="shared" si="312"/>
        <v>0</v>
      </c>
      <c r="AF151" s="171">
        <f t="shared" si="313"/>
        <v>0</v>
      </c>
      <c r="AG151" s="171">
        <f t="shared" si="314"/>
        <v>0</v>
      </c>
      <c r="AI151" s="172">
        <f>IF(VLOOKUP(E151,'Pre-Assessment Estimator'!$E$11:$Z$228,'Pre-Assessment Estimator'!$G$2,FALSE)&gt;AB151,AB151,VLOOKUP(E151,'Pre-Assessment Estimator'!$E$11:$Z$228,'Pre-Assessment Estimator'!$G$2,FALSE))</f>
        <v>0</v>
      </c>
      <c r="AJ151" s="172">
        <f>IF(VLOOKUP(E151,'Pre-Assessment Estimator'!$E$11:$Z$228,'Pre-Assessment Estimator'!$N$2,FALSE)&gt;AB151,AB151,VLOOKUP(E151,'Pre-Assessment Estimator'!$E$11:$Z$228,'Pre-Assessment Estimator'!$N$2,FALSE))</f>
        <v>0</v>
      </c>
      <c r="AK151" s="172">
        <f>IF(VLOOKUP(E151,'Pre-Assessment Estimator'!$E$11:$Z$228,'Pre-Assessment Estimator'!$U$2,FALSE)&gt;AB151,AB151,VLOOKUP(E151,'Pre-Assessment Estimator'!$E$11:$Z$228,'Pre-Assessment Estimator'!$U$2,FALSE))</f>
        <v>0</v>
      </c>
      <c r="AM151" s="850"/>
      <c r="AN151" s="851"/>
      <c r="AO151" s="851"/>
      <c r="AP151" s="851">
        <v>1</v>
      </c>
      <c r="AQ151" s="843">
        <v>1</v>
      </c>
      <c r="AR151" s="139"/>
      <c r="AS151" s="850"/>
      <c r="AT151" s="851"/>
      <c r="AU151" s="851"/>
      <c r="AV151" s="851">
        <v>1</v>
      </c>
      <c r="AW151" s="843">
        <v>1</v>
      </c>
      <c r="AY151" s="731"/>
      <c r="AZ151" s="733"/>
      <c r="BA151" s="733"/>
      <c r="BB151" s="183">
        <f>IF($AB151=0,0,IF($E$6=$H$9,AV151,AP151))</f>
        <v>1</v>
      </c>
      <c r="BC151" s="183">
        <f>IF($AB151=0,0,IF($E$6=$H$9,AW151,AQ151))</f>
        <v>1</v>
      </c>
      <c r="BD151" s="182">
        <f t="shared" si="371"/>
        <v>3</v>
      </c>
      <c r="BE151" s="164" t="str">
        <f t="shared" si="308"/>
        <v>Very Good</v>
      </c>
      <c r="BF151" s="185"/>
      <c r="BG151" s="182">
        <f t="shared" si="372"/>
        <v>3</v>
      </c>
      <c r="BH151" s="164" t="str">
        <f t="shared" si="310"/>
        <v>Very Good</v>
      </c>
      <c r="BI151" s="185"/>
      <c r="BJ151" s="182">
        <f t="shared" si="373"/>
        <v>3</v>
      </c>
      <c r="BK151" s="164" t="str">
        <f t="shared" si="311"/>
        <v>Very Good</v>
      </c>
      <c r="BL151" s="847"/>
      <c r="BO151" s="167"/>
      <c r="BP151" s="167">
        <v>1</v>
      </c>
      <c r="BQ151" s="167">
        <f t="shared" si="342"/>
        <v>1</v>
      </c>
      <c r="BR151" s="167">
        <f t="shared" si="198"/>
        <v>0</v>
      </c>
      <c r="BS151" s="167">
        <f t="shared" si="199"/>
        <v>0</v>
      </c>
      <c r="BT151" s="167">
        <f t="shared" si="200"/>
        <v>0</v>
      </c>
      <c r="BW151" s="707"/>
      <c r="BX151" s="707"/>
      <c r="BY151" s="707"/>
      <c r="BZ151" s="707"/>
      <c r="CA151" s="707"/>
      <c r="CB151" s="707"/>
    </row>
    <row r="152" spans="1:81" ht="15.75" thickBot="1" x14ac:dyDescent="0.3">
      <c r="A152" s="96">
        <v>144</v>
      </c>
      <c r="B152" s="96" t="s">
        <v>886</v>
      </c>
      <c r="D152" s="711"/>
      <c r="E152" s="710" t="s">
        <v>213</v>
      </c>
      <c r="F152" s="774">
        <f>F126+F130+F134+F138+F144+F148</f>
        <v>21</v>
      </c>
      <c r="G152" s="774">
        <f t="shared" ref="G152:R152" si="375">G126+G130+G134+G138+G144+G148</f>
        <v>21</v>
      </c>
      <c r="H152" s="774">
        <f t="shared" si="375"/>
        <v>21</v>
      </c>
      <c r="I152" s="774">
        <f t="shared" si="375"/>
        <v>21</v>
      </c>
      <c r="J152" s="774">
        <f t="shared" si="375"/>
        <v>21</v>
      </c>
      <c r="K152" s="774">
        <f t="shared" si="375"/>
        <v>21</v>
      </c>
      <c r="L152" s="774">
        <f t="shared" si="375"/>
        <v>21</v>
      </c>
      <c r="M152" s="774">
        <f t="shared" si="375"/>
        <v>21</v>
      </c>
      <c r="N152" s="774">
        <f t="shared" si="375"/>
        <v>21</v>
      </c>
      <c r="O152" s="774">
        <f t="shared" si="375"/>
        <v>21</v>
      </c>
      <c r="P152" s="774">
        <f t="shared" si="375"/>
        <v>21</v>
      </c>
      <c r="Q152" s="774">
        <f t="shared" ref="Q152" si="376">Q126+Q130+Q134+Q138+Q144+Q148</f>
        <v>21</v>
      </c>
      <c r="R152" s="774">
        <f t="shared" si="375"/>
        <v>21</v>
      </c>
      <c r="T152" s="226">
        <f t="shared" si="298"/>
        <v>21</v>
      </c>
      <c r="U152" s="204"/>
      <c r="V152" s="205"/>
      <c r="W152" s="205"/>
      <c r="X152" s="205"/>
      <c r="Y152" s="206"/>
      <c r="Z152" s="206"/>
      <c r="AA152" s="774">
        <f t="shared" ref="AA152:AG152" si="377">AA126+AA130+AA134+AA138+AA144+AA148</f>
        <v>0</v>
      </c>
      <c r="AB152" s="774">
        <f t="shared" si="377"/>
        <v>21</v>
      </c>
      <c r="AD152" s="208">
        <f t="shared" si="377"/>
        <v>0.17000000000000004</v>
      </c>
      <c r="AE152" s="208">
        <f t="shared" si="377"/>
        <v>0</v>
      </c>
      <c r="AF152" s="208">
        <f t="shared" si="377"/>
        <v>0</v>
      </c>
      <c r="AG152" s="208">
        <f t="shared" si="377"/>
        <v>0</v>
      </c>
      <c r="AI152" s="78">
        <f t="shared" ref="AI152:AK152" si="378">AI126+AI130+AI134+AI138+AI144+AI148</f>
        <v>0</v>
      </c>
      <c r="AJ152" s="78">
        <f t="shared" si="378"/>
        <v>0</v>
      </c>
      <c r="AK152" s="78">
        <f t="shared" si="378"/>
        <v>0</v>
      </c>
      <c r="AM152" s="139"/>
      <c r="AN152" s="139"/>
      <c r="AO152" s="139"/>
      <c r="AP152" s="139"/>
      <c r="AQ152" s="139"/>
      <c r="AR152" s="139"/>
      <c r="AS152" s="139"/>
      <c r="AT152" s="139"/>
      <c r="AU152" s="139"/>
      <c r="AV152" s="139"/>
      <c r="AW152" s="139"/>
      <c r="AY152" s="97"/>
      <c r="AZ152" s="209"/>
      <c r="BA152" s="97"/>
      <c r="BB152" s="97"/>
      <c r="BC152" s="97"/>
      <c r="BW152" s="202"/>
      <c r="BX152" s="202" t="str">
        <f>IFERROR(VLOOKUP($E152,'Pre-Assessment Estimator'!$E$11:$AB$228,'Pre-Assessment Estimator'!AB$2,FALSE),"")</f>
        <v/>
      </c>
      <c r="BY152" s="202" t="str">
        <f>IFERROR(VLOOKUP($E152,'Pre-Assessment Estimator'!$E$11:$AI$228,'Pre-Assessment Estimator'!AI$2,FALSE),"")</f>
        <v/>
      </c>
      <c r="BZ152" s="202" t="str">
        <f t="shared" ref="BZ152:CA155" si="379">IFERROR(VLOOKUP($BX152,$E$294:$H$327,F$292,FALSE),"")</f>
        <v/>
      </c>
      <c r="CA152" s="202" t="str">
        <f t="shared" si="379"/>
        <v/>
      </c>
      <c r="CB152" s="202"/>
      <c r="CC152" s="96" t="str">
        <f>IFERROR(VLOOKUP($BX152,$E$294:$H$327,I$292,FALSE),"")</f>
        <v/>
      </c>
    </row>
    <row r="153" spans="1:81" ht="15.75" thickBot="1" x14ac:dyDescent="0.3">
      <c r="A153" s="96">
        <v>145</v>
      </c>
      <c r="AI153" s="3"/>
      <c r="AJ153" s="3"/>
      <c r="AK153" s="3"/>
      <c r="AM153" s="139"/>
      <c r="AN153" s="139"/>
      <c r="AO153" s="139"/>
      <c r="AP153" s="139"/>
      <c r="AQ153" s="139"/>
      <c r="AR153" s="139"/>
      <c r="AS153" s="139"/>
      <c r="AT153" s="139"/>
      <c r="AU153" s="139"/>
      <c r="AV153" s="139"/>
      <c r="AW153" s="139"/>
      <c r="AY153" s="97"/>
      <c r="AZ153" s="97"/>
      <c r="BA153" s="97"/>
      <c r="BB153" s="97"/>
      <c r="BC153" s="97"/>
      <c r="BX153" s="96" t="str">
        <f>IFERROR(VLOOKUP($E153,'Pre-Assessment Estimator'!$E$11:$AB$228,'Pre-Assessment Estimator'!AB$2,FALSE),"")</f>
        <v/>
      </c>
      <c r="BY153" s="96" t="str">
        <f>IFERROR(VLOOKUP($E153,'Pre-Assessment Estimator'!$E$11:$AI$228,'Pre-Assessment Estimator'!AI$2,FALSE),"")</f>
        <v/>
      </c>
      <c r="BZ153" s="96" t="str">
        <f t="shared" si="379"/>
        <v/>
      </c>
      <c r="CA153" s="96" t="str">
        <f t="shared" si="379"/>
        <v/>
      </c>
      <c r="CC153" s="96" t="str">
        <f>IFERROR(VLOOKUP($BX153,$E$294:$H$327,I$292,FALSE),"")</f>
        <v/>
      </c>
    </row>
    <row r="154" spans="1:81" ht="60.75" thickBot="1" x14ac:dyDescent="0.3">
      <c r="A154" s="96">
        <v>146</v>
      </c>
      <c r="D154" s="145"/>
      <c r="E154" s="146" t="s">
        <v>68</v>
      </c>
      <c r="F154" s="1241" t="str">
        <f>$F$9</f>
        <v>Office</v>
      </c>
      <c r="G154" s="1241" t="str">
        <f>$G$9</f>
        <v>Retail</v>
      </c>
      <c r="H154" s="1245" t="str">
        <f>$H$9</f>
        <v>Residential</v>
      </c>
      <c r="I154" s="1241" t="str">
        <f>$I$9</f>
        <v>Industrial</v>
      </c>
      <c r="J154" s="1243" t="str">
        <f>$J$9</f>
        <v>Healthcare</v>
      </c>
      <c r="K154" s="1243" t="str">
        <f>$K$9</f>
        <v>Prison</v>
      </c>
      <c r="L154" s="1243" t="str">
        <f>$L$9</f>
        <v>Law Court</v>
      </c>
      <c r="M154" s="1247" t="str">
        <f>$M$9</f>
        <v>Residential institution (long term stay)</v>
      </c>
      <c r="N154" s="918" t="str">
        <f>$N$9</f>
        <v>Residential institution (short term stay)</v>
      </c>
      <c r="O154" s="918" t="str">
        <f>$O$9</f>
        <v>Non-residential institution</v>
      </c>
      <c r="P154" s="918" t="str">
        <f>$P$9</f>
        <v>Assembly and leisure</v>
      </c>
      <c r="Q154" s="1243" t="str">
        <f>$Q$9</f>
        <v>Education</v>
      </c>
      <c r="R154" s="857" t="str">
        <f>$R$9</f>
        <v>Other</v>
      </c>
      <c r="T154" s="138" t="str">
        <f>$E$6</f>
        <v>Office</v>
      </c>
      <c r="U154" s="210"/>
      <c r="V154" s="211"/>
      <c r="W154" s="211"/>
      <c r="X154" s="211"/>
      <c r="Y154" s="1165" t="s">
        <v>411</v>
      </c>
      <c r="Z154" s="347" t="s">
        <v>334</v>
      </c>
      <c r="AA154" s="150" t="s">
        <v>213</v>
      </c>
      <c r="AB154" s="59" t="s">
        <v>15</v>
      </c>
      <c r="AI154" s="42"/>
      <c r="AJ154" s="60"/>
      <c r="AK154" s="60"/>
      <c r="AM154" s="139"/>
      <c r="AN154" s="139"/>
      <c r="AO154" s="139"/>
      <c r="AP154" s="139"/>
      <c r="AQ154" s="139"/>
      <c r="AR154" s="139"/>
      <c r="AS154" s="139"/>
      <c r="AT154" s="139"/>
      <c r="AU154" s="139"/>
      <c r="AV154" s="139"/>
      <c r="AW154" s="139"/>
      <c r="AY154" s="97"/>
      <c r="AZ154" s="97"/>
      <c r="BA154" s="97"/>
      <c r="BB154" s="97"/>
      <c r="BC154" s="97"/>
      <c r="BO154" s="60"/>
      <c r="BP154" s="60"/>
      <c r="BQ154" s="60"/>
      <c r="BR154" s="60"/>
      <c r="BS154" s="60"/>
      <c r="BT154" s="60"/>
      <c r="BW154" s="146"/>
      <c r="BX154" s="146" t="str">
        <f>E154</f>
        <v>Waste</v>
      </c>
      <c r="BY154" s="146">
        <f>IFERROR(VLOOKUP($E154,'Pre-Assessment Estimator'!$E$11:$AI$228,'Pre-Assessment Estimator'!AI$2,FALSE),"")</f>
        <v>0</v>
      </c>
      <c r="BZ154" s="146" t="str">
        <f t="shared" si="379"/>
        <v/>
      </c>
      <c r="CA154" s="146" t="str">
        <f t="shared" si="379"/>
        <v/>
      </c>
      <c r="CB154" s="146"/>
      <c r="CC154" s="96" t="str">
        <f>IFERROR(VLOOKUP($BX154,$E$294:$H$327,I$292,FALSE),"")</f>
        <v/>
      </c>
    </row>
    <row r="155" spans="1:81" x14ac:dyDescent="0.25">
      <c r="A155" s="96">
        <v>147</v>
      </c>
      <c r="B155" s="137" t="str">
        <f>D155</f>
        <v>Wst 01</v>
      </c>
      <c r="C155" s="137" t="str">
        <f>B155</f>
        <v>Wst 01</v>
      </c>
      <c r="D155" s="833" t="s">
        <v>176</v>
      </c>
      <c r="E155" s="831" t="s">
        <v>158</v>
      </c>
      <c r="F155" s="933">
        <f>SUM(F156:F158)</f>
        <v>5</v>
      </c>
      <c r="G155" s="933">
        <f t="shared" ref="G155:R155" si="380">SUM(G156:G158)</f>
        <v>5</v>
      </c>
      <c r="H155" s="933">
        <f t="shared" si="380"/>
        <v>5</v>
      </c>
      <c r="I155" s="933">
        <f t="shared" si="380"/>
        <v>5</v>
      </c>
      <c r="J155" s="933">
        <f t="shared" si="380"/>
        <v>5</v>
      </c>
      <c r="K155" s="933">
        <f t="shared" si="380"/>
        <v>5</v>
      </c>
      <c r="L155" s="933">
        <f t="shared" si="380"/>
        <v>5</v>
      </c>
      <c r="M155" s="933">
        <f t="shared" si="380"/>
        <v>5</v>
      </c>
      <c r="N155" s="933">
        <f t="shared" si="380"/>
        <v>5</v>
      </c>
      <c r="O155" s="933">
        <f t="shared" si="380"/>
        <v>5</v>
      </c>
      <c r="P155" s="933">
        <f t="shared" si="380"/>
        <v>5</v>
      </c>
      <c r="Q155" s="933">
        <f t="shared" ref="Q155" si="381">SUM(Q156:Q158)</f>
        <v>5</v>
      </c>
      <c r="R155" s="933">
        <f t="shared" si="380"/>
        <v>5</v>
      </c>
      <c r="S155" s="367"/>
      <c r="T155" s="961">
        <f>HLOOKUP($E$6,$F$9:$R$231,$A155,FALSE)</f>
        <v>5</v>
      </c>
      <c r="U155" s="222"/>
      <c r="V155" s="230"/>
      <c r="W155" s="230"/>
      <c r="X155" s="230">
        <f>'Manuell filtrering og justering'!E68</f>
        <v>0</v>
      </c>
      <c r="Y155" s="230"/>
      <c r="Z155" s="933">
        <f t="shared" ref="Z155" si="382">SUM(Z156:Z158)</f>
        <v>5</v>
      </c>
      <c r="AA155" s="963">
        <f>IF(SUM(U155:Y155)&gt;T155,T155,SUM(U155:Y155))</f>
        <v>0</v>
      </c>
      <c r="AB155" s="1066">
        <f>SUM(AB156:AB158)</f>
        <v>5</v>
      </c>
      <c r="AD155" s="171">
        <f t="shared" ref="AD155:AD165" si="383">(Wst_Weight/Wst_Credits)*AB155</f>
        <v>0.05</v>
      </c>
      <c r="AE155" s="921">
        <f>SUM(AE156:AE158)</f>
        <v>0</v>
      </c>
      <c r="AF155" s="921">
        <f t="shared" ref="AF155" si="384">SUM(AF156:AF158)</f>
        <v>0</v>
      </c>
      <c r="AG155" s="921">
        <f t="shared" ref="AG155" si="385">SUM(AG156:AG158)</f>
        <v>0</v>
      </c>
      <c r="AI155" s="933">
        <f t="shared" ref="AI155" si="386">SUM(AI156:AI158)</f>
        <v>0</v>
      </c>
      <c r="AJ155" s="933">
        <f t="shared" ref="AJ155" si="387">SUM(AJ156:AJ158)</f>
        <v>0</v>
      </c>
      <c r="AK155" s="933">
        <f t="shared" ref="AK155" si="388">SUM(AK156:AK158)</f>
        <v>0</v>
      </c>
      <c r="AM155" s="298"/>
      <c r="AN155" s="299"/>
      <c r="AO155" s="299"/>
      <c r="AP155" s="299"/>
      <c r="AQ155" s="300"/>
      <c r="AR155" s="139"/>
      <c r="AS155" s="298"/>
      <c r="AT155" s="299"/>
      <c r="AU155" s="299"/>
      <c r="AV155" s="299"/>
      <c r="AW155" s="300"/>
      <c r="AY155" s="174"/>
      <c r="AZ155" s="175"/>
      <c r="BA155" s="175"/>
      <c r="BB155" s="175"/>
      <c r="BC155" s="228"/>
      <c r="BD155" s="174">
        <f t="shared" si="60"/>
        <v>9</v>
      </c>
      <c r="BE155" s="164" t="str">
        <f t="shared" ref="BE155:BE165" si="389">VLOOKUP(BD155,$BO$285:$BT$291,6,FALSE)</f>
        <v>N/A</v>
      </c>
      <c r="BF155" s="178"/>
      <c r="BG155" s="174">
        <f>IF(BC155=0,9,IF(AJ155&gt;=BC155,5,IF(AJ155&gt;=BB155,4,IF(AJ155&gt;=BA155,3,IF(AJ155&gt;=AZ155,2,IF(AJ155&lt;AY155,0,1))))))</f>
        <v>9</v>
      </c>
      <c r="BH155" s="164" t="str">
        <f t="shared" ref="BH155:BH165" si="390">VLOOKUP(BG155,$BO$285:$BT$291,6,FALSE)</f>
        <v>N/A</v>
      </c>
      <c r="BI155" s="178"/>
      <c r="BJ155" s="174">
        <f t="shared" si="28"/>
        <v>9</v>
      </c>
      <c r="BK155" s="164" t="str">
        <f t="shared" ref="BK155:BK165" si="391">VLOOKUP(BJ155,$BO$285:$BT$291,6,FALSE)</f>
        <v>N/A</v>
      </c>
      <c r="BL155" s="178"/>
      <c r="BO155" s="167"/>
      <c r="BP155" s="167"/>
      <c r="BQ155" s="167" t="str">
        <f t="shared" si="342"/>
        <v/>
      </c>
      <c r="BR155" s="167">
        <f t="shared" si="198"/>
        <v>9</v>
      </c>
      <c r="BS155" s="167">
        <f t="shared" si="199"/>
        <v>9</v>
      </c>
      <c r="BT155" s="167">
        <f t="shared" si="200"/>
        <v>9</v>
      </c>
      <c r="BW155" s="164" t="str">
        <f>D155</f>
        <v>Wst 01</v>
      </c>
      <c r="BX155" s="164" t="str">
        <f>IFERROR(VLOOKUP($E155,'Pre-Assessment Estimator'!$E$11:$AB$228,'Pre-Assessment Estimator'!AB$2,FALSE),"")</f>
        <v>N/A</v>
      </c>
      <c r="BY155" s="164">
        <f>IFERROR(VLOOKUP($E155,'Pre-Assessment Estimator'!$E$11:$AI$228,'Pre-Assessment Estimator'!AI$2,FALSE),"")</f>
        <v>0</v>
      </c>
      <c r="BZ155" s="164">
        <f t="shared" si="379"/>
        <v>1</v>
      </c>
      <c r="CA155" s="164">
        <f t="shared" si="379"/>
        <v>0</v>
      </c>
      <c r="CB155" s="164"/>
      <c r="CC155" s="96" t="s">
        <v>429</v>
      </c>
    </row>
    <row r="156" spans="1:81" x14ac:dyDescent="0.25">
      <c r="A156" s="96">
        <v>148</v>
      </c>
      <c r="B156" s="96" t="str">
        <f t="shared" ref="B156:B158" si="392">$D$155&amp;D156</f>
        <v>Wst 01a</v>
      </c>
      <c r="C156" s="96" t="str">
        <f t="shared" si="344"/>
        <v>Wst 01</v>
      </c>
      <c r="D156" s="163" t="s">
        <v>692</v>
      </c>
      <c r="E156" s="1123" t="s">
        <v>664</v>
      </c>
      <c r="F156" s="949">
        <v>1</v>
      </c>
      <c r="G156" s="949">
        <v>1</v>
      </c>
      <c r="H156" s="949">
        <v>1</v>
      </c>
      <c r="I156" s="949">
        <v>1</v>
      </c>
      <c r="J156" s="949">
        <v>1</v>
      </c>
      <c r="K156" s="949">
        <v>1</v>
      </c>
      <c r="L156" s="949">
        <v>1</v>
      </c>
      <c r="M156" s="949">
        <v>1</v>
      </c>
      <c r="N156" s="949">
        <v>1</v>
      </c>
      <c r="O156" s="949">
        <v>1</v>
      </c>
      <c r="P156" s="949">
        <v>1</v>
      </c>
      <c r="Q156" s="949">
        <v>1</v>
      </c>
      <c r="R156" s="949">
        <v>1</v>
      </c>
      <c r="S156" s="367"/>
      <c r="T156" s="221">
        <f>HLOOKUP($E$6,$F$9:$R$231,$A156,FALSE)</f>
        <v>1</v>
      </c>
      <c r="U156" s="166"/>
      <c r="V156" s="167"/>
      <c r="W156" s="167"/>
      <c r="X156" s="167"/>
      <c r="Y156" s="168"/>
      <c r="Z156" s="168">
        <f>VLOOKUP(B156,'Manuell filtrering og justering'!$A$7:$H$253,'Manuell filtrering og justering'!$H$1,FALSE)</f>
        <v>1</v>
      </c>
      <c r="AA156" s="169">
        <f>IF(SUM(U156:Y156)&gt;T156,T156,SUM(U156:Y156))</f>
        <v>0</v>
      </c>
      <c r="AB156" s="170">
        <f>IF($AC$5='Manuell filtrering og justering'!$J$2,Z156,(T156-AA156))</f>
        <v>1</v>
      </c>
      <c r="AD156" s="171">
        <f t="shared" si="383"/>
        <v>0.01</v>
      </c>
      <c r="AE156" s="171">
        <f t="shared" ref="AE156:AE165" si="393">IF(AB156=0,0,(AD156/AB156)*AI156)</f>
        <v>0</v>
      </c>
      <c r="AF156" s="171">
        <f t="shared" ref="AF156:AF165" si="394">IF(AB156=0,0,(AD156/AB156)*AJ156)</f>
        <v>0</v>
      </c>
      <c r="AG156" s="171">
        <f t="shared" ref="AG156:AG165" si="395">IF(AB156=0,0,(AD156/AB156)*AK156)</f>
        <v>0</v>
      </c>
      <c r="AI156" s="172">
        <f>IF(VLOOKUP(E156,'Pre-Assessment Estimator'!$E$11:$Z$228,'Pre-Assessment Estimator'!$G$2,FALSE)&gt;AB156,AB156,VLOOKUP(E156,'Pre-Assessment Estimator'!$E$11:$Z$228,'Pre-Assessment Estimator'!$G$2,FALSE))</f>
        <v>0</v>
      </c>
      <c r="AJ156" s="172">
        <f>IF(VLOOKUP(E156,'Pre-Assessment Estimator'!$E$11:$Z$228,'Pre-Assessment Estimator'!$N$2,FALSE)&gt;AB156,AB156,VLOOKUP(E156,'Pre-Assessment Estimator'!$E$11:$Z$228,'Pre-Assessment Estimator'!$N$2,FALSE))</f>
        <v>0</v>
      </c>
      <c r="AK156" s="172">
        <f>IF(VLOOKUP(E156,'Pre-Assessment Estimator'!$E$11:$Z$228,'Pre-Assessment Estimator'!$U$2,FALSE)&gt;AB156,AB156,VLOOKUP(E156,'Pre-Assessment Estimator'!$E$11:$Z$228,'Pre-Assessment Estimator'!$U$2,FALSE))</f>
        <v>0</v>
      </c>
      <c r="AM156" s="835"/>
      <c r="AN156" s="836"/>
      <c r="AO156" s="836">
        <v>1</v>
      </c>
      <c r="AP156" s="836">
        <v>1</v>
      </c>
      <c r="AQ156" s="837">
        <v>1</v>
      </c>
      <c r="AR156" s="139"/>
      <c r="AS156" s="835"/>
      <c r="AT156" s="836"/>
      <c r="AU156" s="836">
        <v>1</v>
      </c>
      <c r="AV156" s="836">
        <v>1</v>
      </c>
      <c r="AW156" s="837">
        <v>1</v>
      </c>
      <c r="AY156" s="828"/>
      <c r="AZ156" s="829"/>
      <c r="BA156" s="183">
        <f>IF($AB156=0,0,IF($E$6=$H$9,AU156,AO156))</f>
        <v>1</v>
      </c>
      <c r="BB156" s="183">
        <f>IF($AB156=0,0,IF($E$6=$H$9,AV156,AP156))</f>
        <v>1</v>
      </c>
      <c r="BC156" s="183">
        <f>IF($AB156=0,0,IF($E$6=$H$9,AW156,AQ156))</f>
        <v>1</v>
      </c>
      <c r="BD156" s="182">
        <f t="shared" ref="BD156:BD157" si="396">IF(BC156=0,9,IF(AI156&gt;=BC156,5,IF(AI156&gt;=BB156,4,IF(AI156&gt;=BA156,3,IF(AI156&gt;=AZ156,2,IF(AI156&lt;AY156,0,1))))))</f>
        <v>2</v>
      </c>
      <c r="BE156" s="164" t="str">
        <f t="shared" si="389"/>
        <v>Good</v>
      </c>
      <c r="BF156" s="185"/>
      <c r="BG156" s="182">
        <f t="shared" ref="BG156:BG157" si="397">IF(BC156=0,9,IF(AJ156&gt;=BC156,5,IF(AJ156&gt;=BB156,4,IF(AJ156&gt;=BA156,3,IF(AJ156&gt;=AZ156,2,IF(AJ156&lt;AY156,0,1))))))</f>
        <v>2</v>
      </c>
      <c r="BH156" s="164" t="str">
        <f t="shared" si="390"/>
        <v>Good</v>
      </c>
      <c r="BI156" s="185"/>
      <c r="BJ156" s="182">
        <f t="shared" ref="BJ156:BJ157" si="398">IF(BC156=0,9,IF(AK156&gt;=BC156,5,IF(AK156&gt;=BB156,4,IF(AK156&gt;=BA156,3,IF(AK156&gt;=AZ156,2,IF(AK156&lt;AY156,0,1))))))</f>
        <v>2</v>
      </c>
      <c r="BK156" s="164" t="str">
        <f t="shared" si="391"/>
        <v>Good</v>
      </c>
      <c r="BL156" s="830"/>
      <c r="BO156" s="167"/>
      <c r="BP156" s="1181">
        <f>1*0</f>
        <v>0</v>
      </c>
      <c r="BQ156" s="167">
        <f t="shared" si="342"/>
        <v>0</v>
      </c>
      <c r="BR156" s="167">
        <f t="shared" si="198"/>
        <v>5</v>
      </c>
      <c r="BS156" s="167">
        <f t="shared" si="199"/>
        <v>5</v>
      </c>
      <c r="BT156" s="167">
        <f t="shared" si="200"/>
        <v>5</v>
      </c>
      <c r="BW156" s="164"/>
      <c r="BX156" s="164"/>
      <c r="BY156" s="164"/>
      <c r="BZ156" s="164"/>
      <c r="CA156" s="164"/>
      <c r="CB156" s="164"/>
    </row>
    <row r="157" spans="1:81" x14ac:dyDescent="0.25">
      <c r="A157" s="96">
        <v>149</v>
      </c>
      <c r="B157" s="96" t="str">
        <f t="shared" si="392"/>
        <v>Wst 01b</v>
      </c>
      <c r="C157" s="96" t="str">
        <f t="shared" si="344"/>
        <v>Wst 01</v>
      </c>
      <c r="D157" s="163" t="s">
        <v>695</v>
      </c>
      <c r="E157" s="1123" t="s">
        <v>665</v>
      </c>
      <c r="F157" s="949">
        <v>2</v>
      </c>
      <c r="G157" s="949">
        <v>2</v>
      </c>
      <c r="H157" s="949">
        <v>2</v>
      </c>
      <c r="I157" s="949">
        <v>2</v>
      </c>
      <c r="J157" s="949">
        <v>2</v>
      </c>
      <c r="K157" s="949">
        <v>2</v>
      </c>
      <c r="L157" s="949">
        <v>2</v>
      </c>
      <c r="M157" s="949">
        <v>2</v>
      </c>
      <c r="N157" s="949">
        <v>2</v>
      </c>
      <c r="O157" s="949">
        <v>2</v>
      </c>
      <c r="P157" s="949">
        <v>2</v>
      </c>
      <c r="Q157" s="949">
        <v>2</v>
      </c>
      <c r="R157" s="949">
        <v>2</v>
      </c>
      <c r="S157" s="367"/>
      <c r="T157" s="221">
        <f>HLOOKUP($E$6,$F$9:$R$231,$A157,FALSE)</f>
        <v>2</v>
      </c>
      <c r="U157" s="166"/>
      <c r="V157" s="167"/>
      <c r="W157" s="167"/>
      <c r="X157" s="167"/>
      <c r="Y157" s="168"/>
      <c r="Z157" s="168">
        <f>VLOOKUP(B157,'Manuell filtrering og justering'!$A$7:$H$253,'Manuell filtrering og justering'!$H$1,FALSE)</f>
        <v>2</v>
      </c>
      <c r="AA157" s="169">
        <f>IF(SUM(U157:Y157)&gt;T157,T157,SUM(U157:Y157))</f>
        <v>0</v>
      </c>
      <c r="AB157" s="170">
        <f>IF($AC$5='Manuell filtrering og justering'!$J$2,Z157,(T157-AA157))</f>
        <v>2</v>
      </c>
      <c r="AD157" s="171">
        <f t="shared" si="383"/>
        <v>0.02</v>
      </c>
      <c r="AE157" s="171">
        <f t="shared" si="393"/>
        <v>0</v>
      </c>
      <c r="AF157" s="171">
        <f t="shared" si="394"/>
        <v>0</v>
      </c>
      <c r="AG157" s="171">
        <f t="shared" si="395"/>
        <v>0</v>
      </c>
      <c r="AI157" s="172">
        <f>IF(VLOOKUP(E157,'Pre-Assessment Estimator'!$E$11:$Z$228,'Pre-Assessment Estimator'!$G$2,FALSE)&gt;AB157,AB157,VLOOKUP(E157,'Pre-Assessment Estimator'!$E$11:$Z$228,'Pre-Assessment Estimator'!$G$2,FALSE))</f>
        <v>0</v>
      </c>
      <c r="AJ157" s="172">
        <f>IF(VLOOKUP(E157,'Pre-Assessment Estimator'!$E$11:$Z$228,'Pre-Assessment Estimator'!$N$2,FALSE)&gt;AB157,AB157,VLOOKUP(E157,'Pre-Assessment Estimator'!$E$11:$Z$228,'Pre-Assessment Estimator'!$N$2,FALSE))</f>
        <v>0</v>
      </c>
      <c r="AK157" s="172">
        <f>IF(VLOOKUP(E157,'Pre-Assessment Estimator'!$E$11:$Z$228,'Pre-Assessment Estimator'!$U$2,FALSE)&gt;AB157,AB157,VLOOKUP(E157,'Pre-Assessment Estimator'!$E$11:$Z$228,'Pre-Assessment Estimator'!$U$2,FALSE))</f>
        <v>0</v>
      </c>
      <c r="AM157" s="835"/>
      <c r="AN157" s="836"/>
      <c r="AO157" s="836"/>
      <c r="AP157" s="836"/>
      <c r="AQ157" s="837">
        <v>1</v>
      </c>
      <c r="AR157" s="139"/>
      <c r="AS157" s="835"/>
      <c r="AT157" s="836"/>
      <c r="AU157" s="836"/>
      <c r="AV157" s="836"/>
      <c r="AW157" s="837">
        <v>1</v>
      </c>
      <c r="AY157" s="828"/>
      <c r="AZ157" s="829"/>
      <c r="BA157" s="829"/>
      <c r="BB157" s="829"/>
      <c r="BC157" s="183">
        <f>IF($AB157=0,0,IF($E$6=$H$9,AW157,AQ157))</f>
        <v>1</v>
      </c>
      <c r="BD157" s="182">
        <f t="shared" si="396"/>
        <v>4</v>
      </c>
      <c r="BE157" s="164" t="str">
        <f t="shared" si="389"/>
        <v>Excellent</v>
      </c>
      <c r="BF157" s="185"/>
      <c r="BG157" s="182">
        <f t="shared" si="397"/>
        <v>4</v>
      </c>
      <c r="BH157" s="164" t="str">
        <f t="shared" si="390"/>
        <v>Excellent</v>
      </c>
      <c r="BI157" s="185"/>
      <c r="BJ157" s="182">
        <f t="shared" si="398"/>
        <v>4</v>
      </c>
      <c r="BK157" s="164" t="str">
        <f t="shared" si="391"/>
        <v>Excellent</v>
      </c>
      <c r="BL157" s="830"/>
      <c r="BO157" s="167"/>
      <c r="BP157" s="167"/>
      <c r="BQ157" s="167" t="str">
        <f t="shared" si="342"/>
        <v/>
      </c>
      <c r="BR157" s="167">
        <f t="shared" si="198"/>
        <v>9</v>
      </c>
      <c r="BS157" s="167">
        <f t="shared" si="199"/>
        <v>9</v>
      </c>
      <c r="BT157" s="167">
        <f t="shared" si="200"/>
        <v>9</v>
      </c>
      <c r="BW157" s="164"/>
      <c r="BX157" s="164"/>
      <c r="BY157" s="164"/>
      <c r="BZ157" s="164"/>
      <c r="CA157" s="164"/>
      <c r="CB157" s="164"/>
    </row>
    <row r="158" spans="1:81" x14ac:dyDescent="0.25">
      <c r="A158" s="96">
        <v>150</v>
      </c>
      <c r="B158" s="96" t="str">
        <f t="shared" si="392"/>
        <v>Wst 01c</v>
      </c>
      <c r="C158" s="96" t="str">
        <f t="shared" si="344"/>
        <v>Wst 01</v>
      </c>
      <c r="D158" s="163" t="s">
        <v>696</v>
      </c>
      <c r="E158" s="1123" t="s">
        <v>666</v>
      </c>
      <c r="F158" s="949">
        <v>2</v>
      </c>
      <c r="G158" s="949">
        <v>2</v>
      </c>
      <c r="H158" s="949">
        <v>2</v>
      </c>
      <c r="I158" s="949">
        <v>2</v>
      </c>
      <c r="J158" s="949">
        <v>2</v>
      </c>
      <c r="K158" s="949">
        <v>2</v>
      </c>
      <c r="L158" s="949">
        <v>2</v>
      </c>
      <c r="M158" s="949">
        <v>2</v>
      </c>
      <c r="N158" s="949">
        <v>2</v>
      </c>
      <c r="O158" s="949">
        <v>2</v>
      </c>
      <c r="P158" s="949">
        <v>2</v>
      </c>
      <c r="Q158" s="949">
        <v>2</v>
      </c>
      <c r="R158" s="949">
        <v>2</v>
      </c>
      <c r="S158" s="367"/>
      <c r="T158" s="221">
        <f>HLOOKUP($E$6,$F$9:$R$231,$A158,FALSE)</f>
        <v>2</v>
      </c>
      <c r="U158" s="166"/>
      <c r="V158" s="167"/>
      <c r="W158" s="167"/>
      <c r="X158" s="167"/>
      <c r="Y158" s="168"/>
      <c r="Z158" s="168">
        <f>VLOOKUP(B158,'Manuell filtrering og justering'!$A$7:$H$253,'Manuell filtrering og justering'!$H$1,FALSE)</f>
        <v>2</v>
      </c>
      <c r="AA158" s="169">
        <f>IF(SUM(U158:Y158)&gt;T158,T158,SUM(U158:Y158))</f>
        <v>0</v>
      </c>
      <c r="AB158" s="170">
        <f>IF($AC$5='Manuell filtrering og justering'!$J$2,Z158,(T158-AA158))</f>
        <v>2</v>
      </c>
      <c r="AD158" s="171">
        <f t="shared" si="383"/>
        <v>0.02</v>
      </c>
      <c r="AE158" s="171">
        <f t="shared" si="393"/>
        <v>0</v>
      </c>
      <c r="AF158" s="171">
        <f t="shared" si="394"/>
        <v>0</v>
      </c>
      <c r="AG158" s="171">
        <f t="shared" si="395"/>
        <v>0</v>
      </c>
      <c r="AI158" s="172">
        <f>IF(VLOOKUP(E158,'Pre-Assessment Estimator'!$E$11:$Z$228,'Pre-Assessment Estimator'!$G$2,FALSE)&gt;AB158,AB158,VLOOKUP(E158,'Pre-Assessment Estimator'!$E$11:$Z$228,'Pre-Assessment Estimator'!$G$2,FALSE))</f>
        <v>0</v>
      </c>
      <c r="AJ158" s="172">
        <f>IF(VLOOKUP(E158,'Pre-Assessment Estimator'!$E$11:$Z$228,'Pre-Assessment Estimator'!$N$2,FALSE)&gt;AB158,AB158,VLOOKUP(E158,'Pre-Assessment Estimator'!$E$11:$Z$228,'Pre-Assessment Estimator'!$N$2,FALSE))</f>
        <v>0</v>
      </c>
      <c r="AK158" s="172">
        <f>IF(VLOOKUP(E158,'Pre-Assessment Estimator'!$E$11:$Z$228,'Pre-Assessment Estimator'!$U$2,FALSE)&gt;AB158,AB158,VLOOKUP(E158,'Pre-Assessment Estimator'!$E$11:$Z$228,'Pre-Assessment Estimator'!$U$2,FALSE))</f>
        <v>0</v>
      </c>
      <c r="AM158" s="835"/>
      <c r="AN158" s="836"/>
      <c r="AO158" s="836"/>
      <c r="AP158" s="836">
        <v>2</v>
      </c>
      <c r="AQ158" s="837">
        <v>2</v>
      </c>
      <c r="AR158" s="139"/>
      <c r="AS158" s="835"/>
      <c r="AT158" s="836"/>
      <c r="AU158" s="836"/>
      <c r="AV158" s="836">
        <v>2</v>
      </c>
      <c r="AW158" s="837">
        <v>2</v>
      </c>
      <c r="AY158" s="828"/>
      <c r="AZ158" s="829"/>
      <c r="BA158" s="829"/>
      <c r="BB158" s="183">
        <f>IF($AB158=0,0,IF($E$6=$H$9,AV158,AP158))</f>
        <v>2</v>
      </c>
      <c r="BC158" s="183">
        <f>IF($AB158=0,0,IF($E$6=$H$9,AW158,AQ158))</f>
        <v>2</v>
      </c>
      <c r="BD158" s="1154">
        <f>IF(OR(AI158=0,AI158=1),3,IF(AND(AI158=2,BD251=5),5,3))</f>
        <v>3</v>
      </c>
      <c r="BE158" s="709" t="str">
        <f t="shared" si="389"/>
        <v>Very Good</v>
      </c>
      <c r="BF158" s="185"/>
      <c r="BG158" s="1154">
        <f>IF(OR(AJ158=0,AJ158=1),3,IF(AND(AJ158=2,BG251=5),5,3))</f>
        <v>3</v>
      </c>
      <c r="BH158" s="164" t="str">
        <f t="shared" si="390"/>
        <v>Very Good</v>
      </c>
      <c r="BI158" s="185"/>
      <c r="BJ158" s="1154">
        <f>IF(OR(AK158=0,AK158=1),3,IF(AND(AK158=2,BJ251=5),5,3))</f>
        <v>3</v>
      </c>
      <c r="BK158" s="164" t="str">
        <f t="shared" si="391"/>
        <v>Very Good</v>
      </c>
      <c r="BL158" s="830"/>
      <c r="BO158" s="167"/>
      <c r="BP158" s="1181">
        <f>2*0</f>
        <v>0</v>
      </c>
      <c r="BQ158" s="167">
        <f t="shared" si="342"/>
        <v>0</v>
      </c>
      <c r="BR158" s="167">
        <f t="shared" si="198"/>
        <v>5</v>
      </c>
      <c r="BS158" s="167">
        <f t="shared" si="199"/>
        <v>5</v>
      </c>
      <c r="BT158" s="167">
        <f t="shared" si="200"/>
        <v>5</v>
      </c>
      <c r="BW158" s="164"/>
      <c r="BX158" s="164"/>
      <c r="BY158" s="164"/>
      <c r="BZ158" s="164"/>
      <c r="CA158" s="164"/>
      <c r="CB158" s="164"/>
    </row>
    <row r="159" spans="1:81" x14ac:dyDescent="0.25">
      <c r="A159" s="96">
        <v>151</v>
      </c>
      <c r="D159" s="701" t="s">
        <v>177</v>
      </c>
      <c r="E159" s="702"/>
      <c r="F159" s="938"/>
      <c r="G159" s="938"/>
      <c r="H159" s="938"/>
      <c r="I159" s="938"/>
      <c r="J159" s="938"/>
      <c r="K159" s="938"/>
      <c r="L159" s="938"/>
      <c r="M159" s="938"/>
      <c r="N159" s="938"/>
      <c r="O159" s="938"/>
      <c r="P159" s="938"/>
      <c r="Q159" s="938"/>
      <c r="R159" s="938"/>
      <c r="T159" s="956"/>
      <c r="U159" s="701"/>
      <c r="V159" s="700"/>
      <c r="W159" s="700"/>
      <c r="X159" s="700"/>
      <c r="Y159" s="190"/>
      <c r="Z159" s="168"/>
      <c r="AA159" s="956"/>
      <c r="AB159" s="957"/>
      <c r="AD159" s="171">
        <f t="shared" si="383"/>
        <v>0</v>
      </c>
      <c r="AE159" s="960"/>
      <c r="AF159" s="960"/>
      <c r="AG159" s="960"/>
      <c r="AI159" s="720"/>
      <c r="AJ159" s="720"/>
      <c r="AK159" s="720"/>
      <c r="AM159" s="291"/>
      <c r="AN159" s="181"/>
      <c r="AO159" s="181"/>
      <c r="AP159" s="181"/>
      <c r="AQ159" s="186"/>
      <c r="AR159" s="139"/>
      <c r="AS159" s="291"/>
      <c r="AT159" s="181"/>
      <c r="AU159" s="181"/>
      <c r="AV159" s="181"/>
      <c r="AW159" s="186"/>
      <c r="AY159" s="182"/>
      <c r="AZ159" s="183"/>
      <c r="BA159" s="183"/>
      <c r="BB159" s="183"/>
      <c r="BC159" s="187"/>
      <c r="BD159" s="182">
        <f t="shared" si="60"/>
        <v>9</v>
      </c>
      <c r="BE159" s="164" t="str">
        <f t="shared" si="389"/>
        <v>N/A</v>
      </c>
      <c r="BF159" s="185"/>
      <c r="BG159" s="182">
        <f>IF(BC159=0,9,IF(AJ159&gt;=BC159,5,IF(AJ159&gt;=BB159,4,IF(AJ159&gt;=BA159,3,IF(AJ159&gt;=AZ159,2,IF(AJ159&lt;AY159,0,1))))))</f>
        <v>9</v>
      </c>
      <c r="BH159" s="164" t="str">
        <f t="shared" si="390"/>
        <v>N/A</v>
      </c>
      <c r="BI159" s="185"/>
      <c r="BJ159" s="182">
        <f t="shared" si="28"/>
        <v>9</v>
      </c>
      <c r="BK159" s="164" t="str">
        <f t="shared" si="391"/>
        <v>N/A</v>
      </c>
      <c r="BL159" s="185"/>
      <c r="BO159" s="167"/>
      <c r="BP159" s="167"/>
      <c r="BQ159" s="167" t="str">
        <f t="shared" si="342"/>
        <v/>
      </c>
      <c r="BR159" s="167">
        <f t="shared" ref="BR159:BR222" si="399">IF(BQ159="",9,(IF(AI159&gt;=BQ159,5,0)))</f>
        <v>9</v>
      </c>
      <c r="BS159" s="167">
        <f t="shared" ref="BS159:BS222" si="400">IF(BQ159="",9,(IF(AJ159&gt;=BQ159,5,0)))</f>
        <v>9</v>
      </c>
      <c r="BT159" s="167">
        <f t="shared" ref="BT159:BT222" si="401">IF(BQ159="",9,(IF(AK159&gt;=BQ159,5,0)))</f>
        <v>9</v>
      </c>
      <c r="BW159" s="287" t="str">
        <f>D159</f>
        <v>Wst 02</v>
      </c>
      <c r="BX159" s="287" t="str">
        <f>IFERROR(VLOOKUP($E159,'Pre-Assessment Estimator'!$E$11:$AB$228,'Pre-Assessment Estimator'!AB$2,FALSE),"")</f>
        <v/>
      </c>
      <c r="BY159" s="287" t="str">
        <f>IFERROR(VLOOKUP($E159,'Pre-Assessment Estimator'!$E$11:$AI$228,'Pre-Assessment Estimator'!AI$2,FALSE),"")</f>
        <v/>
      </c>
      <c r="BZ159" s="287" t="str">
        <f>IFERROR(VLOOKUP($BX159,$E$294:$H$327,F$292,FALSE),"")</f>
        <v/>
      </c>
      <c r="CA159" s="287" t="str">
        <f>IFERROR(VLOOKUP($BX159,$E$294:$H$327,G$292,FALSE),"")</f>
        <v/>
      </c>
      <c r="CB159" s="287"/>
      <c r="CC159" s="96" t="s">
        <v>429</v>
      </c>
    </row>
    <row r="160" spans="1:81" x14ac:dyDescent="0.25">
      <c r="A160" s="96">
        <v>152</v>
      </c>
      <c r="B160" s="137" t="str">
        <f>D160</f>
        <v>Wst 03a</v>
      </c>
      <c r="C160" s="137" t="str">
        <f>B160</f>
        <v>Wst 03a</v>
      </c>
      <c r="D160" s="834" t="s">
        <v>372</v>
      </c>
      <c r="E160" s="832" t="s">
        <v>794</v>
      </c>
      <c r="F160" s="933">
        <f>SUM(F161)</f>
        <v>1</v>
      </c>
      <c r="G160" s="933">
        <f t="shared" ref="G160:R160" si="402">SUM(G161)</f>
        <v>1</v>
      </c>
      <c r="H160" s="933">
        <f t="shared" si="402"/>
        <v>0</v>
      </c>
      <c r="I160" s="933">
        <f t="shared" si="402"/>
        <v>1</v>
      </c>
      <c r="J160" s="933">
        <f t="shared" si="402"/>
        <v>1</v>
      </c>
      <c r="K160" s="933">
        <f t="shared" si="402"/>
        <v>1</v>
      </c>
      <c r="L160" s="933">
        <f t="shared" si="402"/>
        <v>1</v>
      </c>
      <c r="M160" s="933">
        <f t="shared" si="402"/>
        <v>1</v>
      </c>
      <c r="N160" s="933">
        <f t="shared" si="402"/>
        <v>1</v>
      </c>
      <c r="O160" s="933">
        <f t="shared" si="402"/>
        <v>1</v>
      </c>
      <c r="P160" s="933">
        <f t="shared" si="402"/>
        <v>1</v>
      </c>
      <c r="Q160" s="933">
        <f t="shared" si="402"/>
        <v>1</v>
      </c>
      <c r="R160" s="933">
        <f t="shared" si="402"/>
        <v>1</v>
      </c>
      <c r="T160" s="963">
        <f t="shared" ref="T160:T165" si="403">HLOOKUP($E$6,$F$9:$R$231,$A160,FALSE)</f>
        <v>1</v>
      </c>
      <c r="U160" s="222"/>
      <c r="V160" s="230"/>
      <c r="W160" s="230"/>
      <c r="X160" s="230">
        <f>'Manuell filtrering og justering'!E70</f>
        <v>0</v>
      </c>
      <c r="Y160" s="230"/>
      <c r="Z160" s="933">
        <f t="shared" ref="Z160" si="404">SUM(Z161)</f>
        <v>1</v>
      </c>
      <c r="AA160" s="169">
        <f t="shared" ref="AA160:AA165" si="405">IF(SUM(U160:Y160)&gt;T160,T160,SUM(U160:Y160))</f>
        <v>0</v>
      </c>
      <c r="AB160" s="1066">
        <f>SUM(AB161)</f>
        <v>1</v>
      </c>
      <c r="AD160" s="171">
        <f t="shared" si="383"/>
        <v>0.01</v>
      </c>
      <c r="AE160" s="921">
        <f>SUM(AE161)</f>
        <v>0</v>
      </c>
      <c r="AF160" s="921">
        <f t="shared" ref="AF160:AG160" si="406">SUM(AF161)</f>
        <v>0</v>
      </c>
      <c r="AG160" s="921">
        <f t="shared" si="406"/>
        <v>0</v>
      </c>
      <c r="AI160" s="933">
        <f t="shared" ref="AI160" si="407">SUM(AI161)</f>
        <v>0</v>
      </c>
      <c r="AJ160" s="933">
        <f t="shared" ref="AJ160" si="408">SUM(AJ161)</f>
        <v>0</v>
      </c>
      <c r="AK160" s="933">
        <f t="shared" ref="AK160" si="409">SUM(AK161)</f>
        <v>0</v>
      </c>
      <c r="AM160" s="292"/>
      <c r="AN160" s="293"/>
      <c r="AO160" s="293"/>
      <c r="AP160" s="293"/>
      <c r="AQ160" s="294"/>
      <c r="AR160" s="139"/>
      <c r="AS160" s="292"/>
      <c r="AT160" s="293"/>
      <c r="AU160" s="293"/>
      <c r="AV160" s="293"/>
      <c r="AW160" s="294"/>
      <c r="AY160" s="188"/>
      <c r="AZ160" s="189"/>
      <c r="BA160" s="189"/>
      <c r="BB160" s="189"/>
      <c r="BC160" s="190"/>
      <c r="BD160" s="182">
        <f t="shared" si="60"/>
        <v>9</v>
      </c>
      <c r="BE160" s="164" t="str">
        <f t="shared" si="389"/>
        <v>N/A</v>
      </c>
      <c r="BF160" s="185"/>
      <c r="BG160" s="182">
        <f t="shared" ref="BG160:BG162" si="410">IF(BC160=0,9,IF(AJ160&gt;=BC160,5,IF(AJ160&gt;=BB160,4,IF(AJ160&gt;=BA160,3,IF(AJ160&gt;=AZ160,2,IF(AJ160&lt;AY160,0,1))))))</f>
        <v>9</v>
      </c>
      <c r="BH160" s="164" t="str">
        <f t="shared" si="390"/>
        <v>N/A</v>
      </c>
      <c r="BI160" s="185"/>
      <c r="BJ160" s="182">
        <f t="shared" si="28"/>
        <v>9</v>
      </c>
      <c r="BK160" s="164" t="str">
        <f t="shared" si="391"/>
        <v>N/A</v>
      </c>
      <c r="BL160" s="185"/>
      <c r="BO160" s="167"/>
      <c r="BP160" s="167"/>
      <c r="BQ160" s="167" t="str">
        <f t="shared" si="342"/>
        <v/>
      </c>
      <c r="BR160" s="167">
        <f t="shared" si="399"/>
        <v>9</v>
      </c>
      <c r="BS160" s="167">
        <f t="shared" si="400"/>
        <v>9</v>
      </c>
      <c r="BT160" s="167">
        <f t="shared" si="401"/>
        <v>9</v>
      </c>
      <c r="BW160" s="167" t="str">
        <f>D160</f>
        <v>Wst 03a</v>
      </c>
      <c r="BX160" s="167" t="str">
        <f>IFERROR(VLOOKUP($E160,'Pre-Assessment Estimator'!$E$11:$AB$228,'Pre-Assessment Estimator'!AB$2,FALSE),"")</f>
        <v>No</v>
      </c>
      <c r="BY160" s="167">
        <f>IFERROR(VLOOKUP($E160,'Pre-Assessment Estimator'!$E$11:$AI$228,'Pre-Assessment Estimator'!AI$2,FALSE),"")</f>
        <v>0</v>
      </c>
      <c r="BZ160" s="167">
        <f>IFERROR(VLOOKUP($BX160,$E$294:$H$327,F$292,FALSE),"")</f>
        <v>1</v>
      </c>
      <c r="CA160" s="167">
        <f>IFERROR(VLOOKUP($BX160,$E$294:$H$327,G$292,FALSE),"")</f>
        <v>0</v>
      </c>
      <c r="CB160" s="167"/>
      <c r="CC160" s="96" t="str">
        <f>IFERROR(VLOOKUP($BX160,$E$294:$H$327,I$292,FALSE),"")</f>
        <v/>
      </c>
    </row>
    <row r="161" spans="1:81" x14ac:dyDescent="0.25">
      <c r="A161" s="96">
        <v>153</v>
      </c>
      <c r="B161" s="96" t="str">
        <f t="shared" ref="B161" si="411">$D$160&amp;D161</f>
        <v>Wst 03aa</v>
      </c>
      <c r="C161" s="96" t="str">
        <f t="shared" si="344"/>
        <v>Wst 03a</v>
      </c>
      <c r="D161" s="166" t="s">
        <v>692</v>
      </c>
      <c r="E161" s="1107" t="s">
        <v>373</v>
      </c>
      <c r="F161" s="775">
        <v>1</v>
      </c>
      <c r="G161" s="775">
        <v>1</v>
      </c>
      <c r="H161" s="1022">
        <v>0</v>
      </c>
      <c r="I161" s="775">
        <v>1</v>
      </c>
      <c r="J161" s="775">
        <v>1</v>
      </c>
      <c r="K161" s="775">
        <v>1</v>
      </c>
      <c r="L161" s="775">
        <v>1</v>
      </c>
      <c r="M161" s="775">
        <v>1</v>
      </c>
      <c r="N161" s="775">
        <v>1</v>
      </c>
      <c r="O161" s="775">
        <v>1</v>
      </c>
      <c r="P161" s="775">
        <v>1</v>
      </c>
      <c r="Q161" s="775">
        <v>1</v>
      </c>
      <c r="R161" s="775">
        <v>1</v>
      </c>
      <c r="T161" s="221">
        <f t="shared" si="403"/>
        <v>1</v>
      </c>
      <c r="U161" s="166"/>
      <c r="V161" s="167"/>
      <c r="W161" s="167"/>
      <c r="X161" s="167"/>
      <c r="Y161" s="168"/>
      <c r="Z161" s="168">
        <f>VLOOKUP(B161,'Manuell filtrering og justering'!$A$7:$H$253,'Manuell filtrering og justering'!$H$1,FALSE)</f>
        <v>1</v>
      </c>
      <c r="AA161" s="169">
        <f t="shared" si="405"/>
        <v>0</v>
      </c>
      <c r="AB161" s="170">
        <f>IF($AC$5='Manuell filtrering og justering'!$J$2,Z161,(T161-AA161))</f>
        <v>1</v>
      </c>
      <c r="AD161" s="171">
        <f t="shared" si="383"/>
        <v>0.01</v>
      </c>
      <c r="AE161" s="171">
        <f t="shared" si="393"/>
        <v>0</v>
      </c>
      <c r="AF161" s="171">
        <f t="shared" si="394"/>
        <v>0</v>
      </c>
      <c r="AG161" s="171">
        <f t="shared" si="395"/>
        <v>0</v>
      </c>
      <c r="AI161" s="172">
        <f>IF(VLOOKUP(E161,'Pre-Assessment Estimator'!$E$11:$Z$228,'Pre-Assessment Estimator'!$G$2,FALSE)&gt;AB161,AB161,VLOOKUP(E161,'Pre-Assessment Estimator'!$E$11:$Z$228,'Pre-Assessment Estimator'!$G$2,FALSE))</f>
        <v>0</v>
      </c>
      <c r="AJ161" s="172">
        <f>IF(VLOOKUP(E161,'Pre-Assessment Estimator'!$E$11:$Z$228,'Pre-Assessment Estimator'!$N$2,FALSE)&gt;AB161,AB161,VLOOKUP(E161,'Pre-Assessment Estimator'!$E$11:$Z$228,'Pre-Assessment Estimator'!$N$2,FALSE))</f>
        <v>0</v>
      </c>
      <c r="AK161" s="172">
        <f>IF(VLOOKUP(E161,'Pre-Assessment Estimator'!$E$11:$Z$228,'Pre-Assessment Estimator'!$U$2,FALSE)&gt;AB161,AB161,VLOOKUP(E161,'Pre-Assessment Estimator'!$E$11:$Z$228,'Pre-Assessment Estimator'!$U$2,FALSE))</f>
        <v>0</v>
      </c>
      <c r="AM161" s="850"/>
      <c r="AN161" s="851"/>
      <c r="AO161" s="851"/>
      <c r="AP161" s="851">
        <v>1</v>
      </c>
      <c r="AQ161" s="843">
        <v>1</v>
      </c>
      <c r="AR161" s="139"/>
      <c r="AS161" s="850"/>
      <c r="AT161" s="851"/>
      <c r="AU161" s="851"/>
      <c r="AV161" s="851"/>
      <c r="AW161" s="843"/>
      <c r="AY161" s="731"/>
      <c r="AZ161" s="733"/>
      <c r="BA161" s="733"/>
      <c r="BB161" s="183">
        <f>IF($AB161=0,0,IF($E$6=$H$9,AV161,AP161))</f>
        <v>1</v>
      </c>
      <c r="BC161" s="183">
        <f>IF($AB161=0,0,IF($E$6=$H$9,AW161,AQ161))</f>
        <v>1</v>
      </c>
      <c r="BD161" s="182">
        <f t="shared" si="60"/>
        <v>3</v>
      </c>
      <c r="BE161" s="164" t="str">
        <f t="shared" si="389"/>
        <v>Very Good</v>
      </c>
      <c r="BF161" s="185"/>
      <c r="BG161" s="182">
        <f>IF(BC161=0,9,IF(AJ161&gt;=BC161,5,IF(AJ161&gt;=BB161,4,IF(AJ161&gt;=BA161,3,IF(AJ161&gt;=AZ161,2,IF(AJ161&lt;AY161,0,1))))))</f>
        <v>3</v>
      </c>
      <c r="BH161" s="164" t="str">
        <f t="shared" si="390"/>
        <v>Very Good</v>
      </c>
      <c r="BI161" s="185"/>
      <c r="BJ161" s="182">
        <f t="shared" si="28"/>
        <v>3</v>
      </c>
      <c r="BK161" s="164" t="str">
        <f t="shared" si="391"/>
        <v>Very Good</v>
      </c>
      <c r="BL161" s="847"/>
      <c r="BO161" s="167"/>
      <c r="BP161" s="167"/>
      <c r="BQ161" s="167" t="str">
        <f t="shared" si="342"/>
        <v/>
      </c>
      <c r="BR161" s="167">
        <f t="shared" si="399"/>
        <v>9</v>
      </c>
      <c r="BS161" s="167">
        <f t="shared" si="400"/>
        <v>9</v>
      </c>
      <c r="BT161" s="167">
        <f t="shared" si="401"/>
        <v>9</v>
      </c>
      <c r="BW161" s="167"/>
      <c r="BX161" s="167"/>
      <c r="BY161" s="167"/>
      <c r="BZ161" s="167"/>
      <c r="CA161" s="167"/>
      <c r="CB161" s="167"/>
    </row>
    <row r="162" spans="1:81" x14ac:dyDescent="0.25">
      <c r="A162" s="96">
        <v>154</v>
      </c>
      <c r="B162" s="137" t="str">
        <f>D162</f>
        <v>Wst 03b</v>
      </c>
      <c r="C162" s="137" t="str">
        <f>B162</f>
        <v>Wst 03b</v>
      </c>
      <c r="D162" s="834" t="s">
        <v>374</v>
      </c>
      <c r="E162" s="832" t="s">
        <v>795</v>
      </c>
      <c r="F162" s="933">
        <f>F163</f>
        <v>0</v>
      </c>
      <c r="G162" s="933">
        <f t="shared" ref="G162:R162" si="412">G163</f>
        <v>0</v>
      </c>
      <c r="H162" s="933">
        <f t="shared" si="412"/>
        <v>1</v>
      </c>
      <c r="I162" s="933">
        <f t="shared" si="412"/>
        <v>0</v>
      </c>
      <c r="J162" s="933">
        <f t="shared" si="412"/>
        <v>0</v>
      </c>
      <c r="K162" s="933">
        <f t="shared" si="412"/>
        <v>0</v>
      </c>
      <c r="L162" s="933">
        <f t="shared" si="412"/>
        <v>0</v>
      </c>
      <c r="M162" s="933">
        <f t="shared" si="412"/>
        <v>0</v>
      </c>
      <c r="N162" s="933">
        <f t="shared" si="412"/>
        <v>0</v>
      </c>
      <c r="O162" s="933">
        <f t="shared" si="412"/>
        <v>0</v>
      </c>
      <c r="P162" s="933">
        <f t="shared" si="412"/>
        <v>0</v>
      </c>
      <c r="Q162" s="933">
        <f t="shared" si="412"/>
        <v>0</v>
      </c>
      <c r="R162" s="933">
        <f t="shared" si="412"/>
        <v>0</v>
      </c>
      <c r="T162" s="963">
        <f t="shared" si="403"/>
        <v>0</v>
      </c>
      <c r="U162" s="222"/>
      <c r="V162" s="230"/>
      <c r="W162" s="230"/>
      <c r="X162" s="230"/>
      <c r="Y162" s="230"/>
      <c r="Z162" s="933">
        <f t="shared" ref="Z162" si="413">Z163</f>
        <v>0</v>
      </c>
      <c r="AA162" s="963">
        <f t="shared" si="405"/>
        <v>0</v>
      </c>
      <c r="AB162" s="1066">
        <f>SUM(AB163)</f>
        <v>0</v>
      </c>
      <c r="AD162" s="171">
        <f t="shared" si="383"/>
        <v>0</v>
      </c>
      <c r="AE162" s="921">
        <f>SUM(AE163)</f>
        <v>0</v>
      </c>
      <c r="AF162" s="921">
        <f t="shared" ref="AF162:AG162" si="414">SUM(AF163)</f>
        <v>0</v>
      </c>
      <c r="AG162" s="921">
        <f t="shared" si="414"/>
        <v>0</v>
      </c>
      <c r="AI162" s="933">
        <f t="shared" ref="AI162" si="415">AI163</f>
        <v>0</v>
      </c>
      <c r="AJ162" s="933">
        <f t="shared" ref="AJ162" si="416">AJ163</f>
        <v>0</v>
      </c>
      <c r="AK162" s="933">
        <f t="shared" ref="AK162" si="417">AK163</f>
        <v>0</v>
      </c>
      <c r="AM162" s="850"/>
      <c r="AN162" s="851"/>
      <c r="AO162" s="851"/>
      <c r="AP162" s="851"/>
      <c r="AQ162" s="843"/>
      <c r="AR162" s="139"/>
      <c r="AS162" s="850"/>
      <c r="AT162" s="851"/>
      <c r="AU162" s="851"/>
      <c r="AV162" s="851"/>
      <c r="AW162" s="843"/>
      <c r="AY162" s="731"/>
      <c r="AZ162" s="733"/>
      <c r="BA162" s="733"/>
      <c r="BB162" s="733"/>
      <c r="BC162" s="852"/>
      <c r="BD162" s="182">
        <f t="shared" si="60"/>
        <v>9</v>
      </c>
      <c r="BE162" s="164" t="str">
        <f t="shared" si="389"/>
        <v>N/A</v>
      </c>
      <c r="BF162" s="185"/>
      <c r="BG162" s="182">
        <f t="shared" si="410"/>
        <v>9</v>
      </c>
      <c r="BH162" s="164" t="str">
        <f t="shared" si="390"/>
        <v>N/A</v>
      </c>
      <c r="BI162" s="185"/>
      <c r="BJ162" s="182">
        <f t="shared" si="28"/>
        <v>9</v>
      </c>
      <c r="BK162" s="164" t="str">
        <f t="shared" si="391"/>
        <v>N/A</v>
      </c>
      <c r="BL162" s="847"/>
      <c r="BO162" s="167"/>
      <c r="BP162" s="167"/>
      <c r="BQ162" s="167" t="str">
        <f t="shared" si="342"/>
        <v/>
      </c>
      <c r="BR162" s="167">
        <f t="shared" si="399"/>
        <v>9</v>
      </c>
      <c r="BS162" s="167">
        <f t="shared" si="400"/>
        <v>9</v>
      </c>
      <c r="BT162" s="167">
        <f t="shared" si="401"/>
        <v>9</v>
      </c>
      <c r="BW162" s="167"/>
      <c r="BX162" s="167"/>
      <c r="BY162" s="167"/>
      <c r="BZ162" s="167"/>
      <c r="CA162" s="167"/>
      <c r="CB162" s="167"/>
    </row>
    <row r="163" spans="1:81" x14ac:dyDescent="0.25">
      <c r="A163" s="96">
        <v>155</v>
      </c>
      <c r="B163" s="96" t="str">
        <f t="shared" ref="B163" si="418">$D$162&amp;D163</f>
        <v>Wst 03ba</v>
      </c>
      <c r="C163" s="96" t="str">
        <f t="shared" si="344"/>
        <v>Wst 03b</v>
      </c>
      <c r="D163" s="166" t="s">
        <v>692</v>
      </c>
      <c r="E163" s="1107" t="s">
        <v>667</v>
      </c>
      <c r="F163" s="775">
        <v>0</v>
      </c>
      <c r="G163" s="775">
        <v>0</v>
      </c>
      <c r="H163" s="1022">
        <v>1</v>
      </c>
      <c r="I163" s="775">
        <v>0</v>
      </c>
      <c r="J163" s="775">
        <v>0</v>
      </c>
      <c r="K163" s="775">
        <v>0</v>
      </c>
      <c r="L163" s="775">
        <v>0</v>
      </c>
      <c r="M163" s="775">
        <v>0</v>
      </c>
      <c r="N163" s="775">
        <v>0</v>
      </c>
      <c r="O163" s="775">
        <v>0</v>
      </c>
      <c r="P163" s="775">
        <v>0</v>
      </c>
      <c r="Q163" s="775">
        <v>0</v>
      </c>
      <c r="R163" s="775">
        <v>0</v>
      </c>
      <c r="T163" s="221">
        <f t="shared" si="403"/>
        <v>0</v>
      </c>
      <c r="U163" s="166"/>
      <c r="V163" s="167"/>
      <c r="W163" s="167"/>
      <c r="X163" s="167"/>
      <c r="Y163" s="168"/>
      <c r="Z163" s="168">
        <f>VLOOKUP(B163,'Manuell filtrering og justering'!$A$7:$H$253,'Manuell filtrering og justering'!$H$1,FALSE)</f>
        <v>0</v>
      </c>
      <c r="AA163" s="169">
        <f t="shared" si="405"/>
        <v>0</v>
      </c>
      <c r="AB163" s="170">
        <f>IF($AC$5='Manuell filtrering og justering'!$J$2,Z163,(T163-AA163))</f>
        <v>0</v>
      </c>
      <c r="AD163" s="171">
        <f t="shared" si="383"/>
        <v>0</v>
      </c>
      <c r="AE163" s="171">
        <f t="shared" si="393"/>
        <v>0</v>
      </c>
      <c r="AF163" s="171">
        <f t="shared" si="394"/>
        <v>0</v>
      </c>
      <c r="AG163" s="171">
        <f t="shared" si="395"/>
        <v>0</v>
      </c>
      <c r="AI163" s="172">
        <f>IF(VLOOKUP(E163,'Pre-Assessment Estimator'!$E$11:$Z$228,'Pre-Assessment Estimator'!$G$2,FALSE)&gt;AB163,AB163,VLOOKUP(E163,'Pre-Assessment Estimator'!$E$11:$Z$228,'Pre-Assessment Estimator'!$G$2,FALSE))</f>
        <v>0</v>
      </c>
      <c r="AJ163" s="172">
        <f>IF(VLOOKUP(E163,'Pre-Assessment Estimator'!$E$11:$Z$228,'Pre-Assessment Estimator'!$N$2,FALSE)&gt;AB163,AB163,VLOOKUP(E163,'Pre-Assessment Estimator'!$E$11:$Z$228,'Pre-Assessment Estimator'!$N$2,FALSE))</f>
        <v>0</v>
      </c>
      <c r="AK163" s="172">
        <f>IF(VLOOKUP(E163,'Pre-Assessment Estimator'!$E$11:$Z$228,'Pre-Assessment Estimator'!$U$2,FALSE)&gt;AB163,AB163,VLOOKUP(E163,'Pre-Assessment Estimator'!$E$11:$Z$228,'Pre-Assessment Estimator'!$U$2,FALSE))</f>
        <v>0</v>
      </c>
      <c r="AM163" s="850"/>
      <c r="AN163" s="851"/>
      <c r="AO163" s="851"/>
      <c r="AP163" s="851"/>
      <c r="AQ163" s="843"/>
      <c r="AR163" s="139"/>
      <c r="AS163" s="850"/>
      <c r="AT163" s="851"/>
      <c r="AU163" s="851"/>
      <c r="AV163" s="851">
        <v>1</v>
      </c>
      <c r="AW163" s="843">
        <v>1</v>
      </c>
      <c r="AY163" s="731"/>
      <c r="AZ163" s="733"/>
      <c r="BA163" s="733"/>
      <c r="BB163" s="183">
        <f>IF($AB163=0,0,IF($E$6=$H$9,AV163,AP163))</f>
        <v>0</v>
      </c>
      <c r="BC163" s="183">
        <f>IF($AB163=0,0,IF($E$6=$H$9,AW163,AQ163))</f>
        <v>0</v>
      </c>
      <c r="BD163" s="182">
        <f t="shared" ref="BD163" si="419">IF(BC163=0,9,IF(AI163&gt;=BC163,5,IF(AI163&gt;=BB163,4,IF(AI163&gt;=BA163,3,IF(AI163&gt;=AZ163,2,IF(AI163&lt;AY163,0,1))))))</f>
        <v>9</v>
      </c>
      <c r="BE163" s="164" t="str">
        <f t="shared" si="389"/>
        <v>N/A</v>
      </c>
      <c r="BF163" s="185"/>
      <c r="BG163" s="182">
        <f>IF(BC163=0,9,IF(AJ163&gt;=BC163,5,IF(AJ163&gt;=BB163,4,IF(AJ163&gt;=BA163,3,IF(AJ163&gt;=AZ163,2,IF(AJ163&lt;AY163,0,1))))))</f>
        <v>9</v>
      </c>
      <c r="BH163" s="164" t="str">
        <f t="shared" si="390"/>
        <v>N/A</v>
      </c>
      <c r="BI163" s="185"/>
      <c r="BJ163" s="182">
        <f t="shared" ref="BJ163" si="420">IF(BC163=0,9,IF(AK163&gt;=BC163,5,IF(AK163&gt;=BB163,4,IF(AK163&gt;=BA163,3,IF(AK163&gt;=AZ163,2,IF(AK163&lt;AY163,0,1))))))</f>
        <v>9</v>
      </c>
      <c r="BK163" s="164" t="str">
        <f t="shared" si="391"/>
        <v>N/A</v>
      </c>
      <c r="BL163" s="847"/>
      <c r="BO163" s="167"/>
      <c r="BP163" s="167"/>
      <c r="BQ163" s="167" t="str">
        <f t="shared" si="342"/>
        <v/>
      </c>
      <c r="BR163" s="167">
        <f t="shared" si="399"/>
        <v>9</v>
      </c>
      <c r="BS163" s="167">
        <f t="shared" si="400"/>
        <v>9</v>
      </c>
      <c r="BT163" s="167">
        <f t="shared" si="401"/>
        <v>9</v>
      </c>
      <c r="BW163" s="167"/>
      <c r="BX163" s="167"/>
      <c r="BY163" s="167"/>
      <c r="BZ163" s="167"/>
      <c r="CA163" s="167"/>
      <c r="CB163" s="167"/>
    </row>
    <row r="164" spans="1:81" ht="15.75" thickBot="1" x14ac:dyDescent="0.3">
      <c r="A164" s="96">
        <v>156</v>
      </c>
      <c r="B164" s="137" t="str">
        <f>D164</f>
        <v>Wst 04</v>
      </c>
      <c r="C164" s="137" t="str">
        <f>B164</f>
        <v>Wst 04</v>
      </c>
      <c r="D164" s="834" t="s">
        <v>178</v>
      </c>
      <c r="E164" s="832" t="s">
        <v>958</v>
      </c>
      <c r="F164" s="933">
        <f>F165</f>
        <v>1</v>
      </c>
      <c r="G164" s="933">
        <f t="shared" ref="G164:R164" si="421">G165</f>
        <v>0</v>
      </c>
      <c r="H164" s="933">
        <f t="shared" si="421"/>
        <v>1</v>
      </c>
      <c r="I164" s="933">
        <f t="shared" si="421"/>
        <v>0</v>
      </c>
      <c r="J164" s="933">
        <f t="shared" si="421"/>
        <v>0</v>
      </c>
      <c r="K164" s="933">
        <f t="shared" si="421"/>
        <v>0</v>
      </c>
      <c r="L164" s="933">
        <f t="shared" si="421"/>
        <v>0</v>
      </c>
      <c r="M164" s="933">
        <f t="shared" si="421"/>
        <v>0</v>
      </c>
      <c r="N164" s="933">
        <f t="shared" si="421"/>
        <v>0</v>
      </c>
      <c r="O164" s="933">
        <f t="shared" si="421"/>
        <v>0</v>
      </c>
      <c r="P164" s="933">
        <f t="shared" si="421"/>
        <v>0</v>
      </c>
      <c r="Q164" s="933">
        <f t="shared" si="421"/>
        <v>0</v>
      </c>
      <c r="R164" s="933">
        <f t="shared" si="421"/>
        <v>0</v>
      </c>
      <c r="T164" s="963">
        <f t="shared" si="403"/>
        <v>1</v>
      </c>
      <c r="U164" s="222">
        <f>U165</f>
        <v>0</v>
      </c>
      <c r="V164" s="230"/>
      <c r="W164" s="230"/>
      <c r="X164" s="230">
        <f>'Manuell filtrering og justering'!E71</f>
        <v>0</v>
      </c>
      <c r="Y164" s="230"/>
      <c r="Z164" s="933">
        <f t="shared" ref="Z164" si="422">Z165</f>
        <v>0</v>
      </c>
      <c r="AA164" s="963">
        <f t="shared" si="405"/>
        <v>0</v>
      </c>
      <c r="AB164" s="1066">
        <f>SUM(AB165)</f>
        <v>1</v>
      </c>
      <c r="AD164" s="171">
        <f t="shared" si="383"/>
        <v>0.01</v>
      </c>
      <c r="AE164" s="921">
        <f>SUM(AE165)</f>
        <v>0</v>
      </c>
      <c r="AF164" s="921">
        <f t="shared" ref="AF164:AG164" si="423">SUM(AF165)</f>
        <v>0</v>
      </c>
      <c r="AG164" s="921">
        <f t="shared" si="423"/>
        <v>0</v>
      </c>
      <c r="AI164" s="933">
        <f t="shared" ref="AI164" si="424">AI165</f>
        <v>0</v>
      </c>
      <c r="AJ164" s="933">
        <f t="shared" ref="AJ164" si="425">AJ165</f>
        <v>0</v>
      </c>
      <c r="AK164" s="933">
        <f t="shared" ref="AK164" si="426">AK165</f>
        <v>0</v>
      </c>
      <c r="AM164" s="295"/>
      <c r="AN164" s="296"/>
      <c r="AO164" s="296"/>
      <c r="AP164" s="296"/>
      <c r="AQ164" s="297"/>
      <c r="AR164" s="139"/>
      <c r="AS164" s="295"/>
      <c r="AT164" s="296"/>
      <c r="AU164" s="296"/>
      <c r="AV164" s="296"/>
      <c r="AW164" s="297"/>
      <c r="AY164" s="194"/>
      <c r="AZ164" s="196"/>
      <c r="BA164" s="196"/>
      <c r="BB164" s="196"/>
      <c r="BC164" s="197"/>
      <c r="BD164" s="198">
        <f t="shared" si="60"/>
        <v>9</v>
      </c>
      <c r="BE164" s="164" t="str">
        <f t="shared" si="389"/>
        <v>N/A</v>
      </c>
      <c r="BF164" s="200"/>
      <c r="BG164" s="198">
        <f>IF(BC164=0,9,IF(AJ164&gt;=BC164,5,IF(AJ164&gt;=BB164,4,IF(AJ164&gt;=BA164,3,IF(AJ164&gt;=AZ164,2,IF(AJ164&lt;AY164,0,1))))))</f>
        <v>9</v>
      </c>
      <c r="BH164" s="164" t="str">
        <f t="shared" si="390"/>
        <v>N/A</v>
      </c>
      <c r="BI164" s="200"/>
      <c r="BJ164" s="198">
        <f t="shared" si="28"/>
        <v>9</v>
      </c>
      <c r="BK164" s="164" t="str">
        <f t="shared" si="391"/>
        <v>N/A</v>
      </c>
      <c r="BL164" s="200"/>
      <c r="BO164" s="167"/>
      <c r="BP164" s="167"/>
      <c r="BQ164" s="167" t="str">
        <f t="shared" si="342"/>
        <v/>
      </c>
      <c r="BR164" s="167">
        <f t="shared" si="399"/>
        <v>9</v>
      </c>
      <c r="BS164" s="167">
        <f t="shared" si="400"/>
        <v>9</v>
      </c>
      <c r="BT164" s="167">
        <f t="shared" si="401"/>
        <v>9</v>
      </c>
      <c r="BW164" s="167" t="str">
        <f>D164</f>
        <v>Wst 04</v>
      </c>
      <c r="BX164" s="167" t="str">
        <f>IFERROR(VLOOKUP($E164,'Pre-Assessment Estimator'!$E$11:$AB$228,'Pre-Assessment Estimator'!AB$2,FALSE),"")</f>
        <v>No</v>
      </c>
      <c r="BY164" s="167">
        <f>IFERROR(VLOOKUP($E164,'Pre-Assessment Estimator'!$E$11:$AI$228,'Pre-Assessment Estimator'!AI$2,FALSE),"")</f>
        <v>0</v>
      </c>
      <c r="BZ164" s="167">
        <f>IFERROR(VLOOKUP($BX164,$E$294:$H$327,F$292,FALSE),"")</f>
        <v>1</v>
      </c>
      <c r="CA164" s="167">
        <f>IFERROR(VLOOKUP($BX164,$E$294:$H$327,G$292,FALSE),"")</f>
        <v>0</v>
      </c>
      <c r="CB164" s="167"/>
      <c r="CC164" s="96" t="str">
        <f>IFERROR(VLOOKUP($BX164,$E$294:$H$327,I$292,FALSE),"")</f>
        <v/>
      </c>
    </row>
    <row r="165" spans="1:81" ht="15.75" thickBot="1" x14ac:dyDescent="0.3">
      <c r="A165" s="96">
        <v>157</v>
      </c>
      <c r="B165" s="96" t="str">
        <f>$D$164&amp;D165</f>
        <v>Wst 04a</v>
      </c>
      <c r="C165" s="96" t="str">
        <f t="shared" si="344"/>
        <v>Wst 04</v>
      </c>
      <c r="D165" s="231" t="s">
        <v>692</v>
      </c>
      <c r="E165" s="1107" t="s">
        <v>668</v>
      </c>
      <c r="F165" s="943">
        <v>1</v>
      </c>
      <c r="G165" s="1125">
        <v>0</v>
      </c>
      <c r="H165" s="943">
        <v>1</v>
      </c>
      <c r="I165" s="1125">
        <v>0</v>
      </c>
      <c r="J165" s="1125">
        <v>0</v>
      </c>
      <c r="K165" s="1125">
        <v>0</v>
      </c>
      <c r="L165" s="1125">
        <v>0</v>
      </c>
      <c r="M165" s="1125">
        <v>0</v>
      </c>
      <c r="N165" s="1125">
        <v>0</v>
      </c>
      <c r="O165" s="1125">
        <v>0</v>
      </c>
      <c r="P165" s="1125">
        <v>0</v>
      </c>
      <c r="Q165" s="1125">
        <v>0</v>
      </c>
      <c r="R165" s="1125">
        <v>0</v>
      </c>
      <c r="T165" s="221">
        <f t="shared" si="403"/>
        <v>1</v>
      </c>
      <c r="U165" s="192">
        <f>IF(AND(ADBT0=ADBT12,'Assessment Details'!F6&lt;&gt;'Assessment Details'!V8),Poeng!T165,0)</f>
        <v>0</v>
      </c>
      <c r="V165" s="193"/>
      <c r="W165" s="193"/>
      <c r="X165" s="193"/>
      <c r="Y165" s="169">
        <f>IF($Y$4=$Y$6,T165,0)</f>
        <v>0</v>
      </c>
      <c r="Z165" s="168">
        <f>VLOOKUP(B165,'Manuell filtrering og justering'!$A$7:$H$253,'Manuell filtrering og justering'!$H$1,FALSE)</f>
        <v>0</v>
      </c>
      <c r="AA165" s="169">
        <f t="shared" si="405"/>
        <v>0</v>
      </c>
      <c r="AB165" s="170">
        <f>IF($AC$5='Manuell filtrering og justering'!$J$2,Z165,(T165-AA165))</f>
        <v>1</v>
      </c>
      <c r="AD165" s="171">
        <f t="shared" si="383"/>
        <v>0.01</v>
      </c>
      <c r="AE165" s="171">
        <f t="shared" si="393"/>
        <v>0</v>
      </c>
      <c r="AF165" s="171">
        <f t="shared" si="394"/>
        <v>0</v>
      </c>
      <c r="AG165" s="171">
        <f t="shared" si="395"/>
        <v>0</v>
      </c>
      <c r="AI165" s="172">
        <f>IF(VLOOKUP(E165,'Pre-Assessment Estimator'!$E$11:$Z$228,'Pre-Assessment Estimator'!$G$2,FALSE)&gt;AB165,AB165,VLOOKUP(E165,'Pre-Assessment Estimator'!$E$11:$Z$228,'Pre-Assessment Estimator'!$G$2,FALSE))</f>
        <v>0</v>
      </c>
      <c r="AJ165" s="172">
        <f>IF(VLOOKUP(E165,'Pre-Assessment Estimator'!$E$11:$Z$228,'Pre-Assessment Estimator'!$N$2,FALSE)&gt;AB165,AB165,VLOOKUP(E165,'Pre-Assessment Estimator'!$E$11:$Z$228,'Pre-Assessment Estimator'!$N$2,FALSE))</f>
        <v>0</v>
      </c>
      <c r="AK165" s="172">
        <f>IF(VLOOKUP(E165,'Pre-Assessment Estimator'!$E$11:$Z$228,'Pre-Assessment Estimator'!$U$2,FALSE)&gt;AB165,AB165,VLOOKUP(E165,'Pre-Assessment Estimator'!$E$11:$Z$228,'Pre-Assessment Estimator'!$U$2,FALSE))</f>
        <v>0</v>
      </c>
      <c r="AM165" s="295"/>
      <c r="AN165" s="296"/>
      <c r="AO165" s="296"/>
      <c r="AP165" s="296"/>
      <c r="AQ165" s="297"/>
      <c r="AR165" s="139"/>
      <c r="AS165" s="295"/>
      <c r="AT165" s="296"/>
      <c r="AU165" s="296"/>
      <c r="AV165" s="296"/>
      <c r="AW165" s="297"/>
      <c r="AY165" s="194"/>
      <c r="AZ165" s="196"/>
      <c r="BA165" s="196"/>
      <c r="BB165" s="196"/>
      <c r="BC165" s="197"/>
      <c r="BD165" s="198">
        <f t="shared" ref="BD165" si="427">IF(BC165=0,9,IF(AI165&gt;=BC165,5,IF(AI165&gt;=BB165,4,IF(AI165&gt;=BA165,3,IF(AI165&gt;=AZ165,2,IF(AI165&lt;AY165,0,1))))))</f>
        <v>9</v>
      </c>
      <c r="BE165" s="164" t="str">
        <f t="shared" si="389"/>
        <v>N/A</v>
      </c>
      <c r="BF165" s="200"/>
      <c r="BG165" s="198">
        <f>IF(BC165=0,9,IF(AJ165&gt;=BC165,5,IF(AJ165&gt;=BB165,4,IF(AJ165&gt;=BA165,3,IF(AJ165&gt;=AZ165,2,IF(AJ165&lt;AY165,0,1))))))</f>
        <v>9</v>
      </c>
      <c r="BH165" s="164" t="str">
        <f t="shared" si="390"/>
        <v>N/A</v>
      </c>
      <c r="BI165" s="200"/>
      <c r="BJ165" s="198">
        <f t="shared" ref="BJ165" si="428">IF(BC165=0,9,IF(AK165&gt;=BC165,5,IF(AK165&gt;=BB165,4,IF(AK165&gt;=BA165,3,IF(AK165&gt;=AZ165,2,IF(AK165&lt;AY165,0,1))))))</f>
        <v>9</v>
      </c>
      <c r="BK165" s="164" t="str">
        <f t="shared" si="391"/>
        <v>N/A</v>
      </c>
      <c r="BL165" s="200"/>
      <c r="BO165" s="167"/>
      <c r="BP165" s="167"/>
      <c r="BQ165" s="167" t="str">
        <f t="shared" si="342"/>
        <v/>
      </c>
      <c r="BR165" s="167">
        <f t="shared" si="399"/>
        <v>9</v>
      </c>
      <c r="BS165" s="167">
        <f t="shared" si="400"/>
        <v>9</v>
      </c>
      <c r="BT165" s="167">
        <f t="shared" si="401"/>
        <v>9</v>
      </c>
      <c r="BW165" s="314"/>
      <c r="BX165" s="314"/>
      <c r="BY165" s="314"/>
      <c r="BZ165" s="314"/>
      <c r="CA165" s="314"/>
      <c r="CB165" s="314"/>
    </row>
    <row r="166" spans="1:81" ht="15.75" thickBot="1" x14ac:dyDescent="0.3">
      <c r="A166" s="96">
        <v>158</v>
      </c>
      <c r="B166" s="96" t="s">
        <v>887</v>
      </c>
      <c r="D166" s="201"/>
      <c r="E166" s="202" t="s">
        <v>213</v>
      </c>
      <c r="F166" s="773">
        <f>F155+F160+F162+F164</f>
        <v>7</v>
      </c>
      <c r="G166" s="773">
        <f t="shared" ref="G166:R166" si="429">G155+G160+G162+G164</f>
        <v>6</v>
      </c>
      <c r="H166" s="773">
        <f t="shared" si="429"/>
        <v>7</v>
      </c>
      <c r="I166" s="773">
        <f t="shared" si="429"/>
        <v>6</v>
      </c>
      <c r="J166" s="773">
        <f t="shared" si="429"/>
        <v>6</v>
      </c>
      <c r="K166" s="773">
        <f t="shared" si="429"/>
        <v>6</v>
      </c>
      <c r="L166" s="773">
        <f t="shared" si="429"/>
        <v>6</v>
      </c>
      <c r="M166" s="773">
        <f t="shared" si="429"/>
        <v>6</v>
      </c>
      <c r="N166" s="773">
        <f t="shared" si="429"/>
        <v>6</v>
      </c>
      <c r="O166" s="773">
        <f t="shared" si="429"/>
        <v>6</v>
      </c>
      <c r="P166" s="773">
        <f t="shared" si="429"/>
        <v>6</v>
      </c>
      <c r="Q166" s="773">
        <f t="shared" ref="Q166" si="430">Q155+Q160+Q162+Q164</f>
        <v>6</v>
      </c>
      <c r="R166" s="773">
        <f t="shared" si="429"/>
        <v>6</v>
      </c>
      <c r="T166" s="226">
        <f>HLOOKUP($E$6,$F$9:$R$231,$A166,FALSE)</f>
        <v>7</v>
      </c>
      <c r="U166" s="204"/>
      <c r="V166" s="205"/>
      <c r="W166" s="205"/>
      <c r="X166" s="205"/>
      <c r="Y166" s="206"/>
      <c r="Z166" s="206"/>
      <c r="AA166" s="773">
        <f t="shared" ref="AA166:AG166" si="431">AA155+AA160+AA162+AA164</f>
        <v>0</v>
      </c>
      <c r="AB166" s="773">
        <f t="shared" si="431"/>
        <v>7</v>
      </c>
      <c r="AD166" s="208">
        <f t="shared" si="431"/>
        <v>7.0000000000000007E-2</v>
      </c>
      <c r="AE166" s="208">
        <f t="shared" si="431"/>
        <v>0</v>
      </c>
      <c r="AF166" s="208">
        <f t="shared" si="431"/>
        <v>0</v>
      </c>
      <c r="AG166" s="208">
        <f t="shared" si="431"/>
        <v>0</v>
      </c>
      <c r="AI166" s="78">
        <f t="shared" ref="AI166:AK166" si="432">AI155+AI160+AI162+AI164</f>
        <v>0</v>
      </c>
      <c r="AJ166" s="78">
        <f t="shared" si="432"/>
        <v>0</v>
      </c>
      <c r="AK166" s="78">
        <f t="shared" si="432"/>
        <v>0</v>
      </c>
      <c r="AM166" s="139"/>
      <c r="AN166" s="139"/>
      <c r="AO166" s="139"/>
      <c r="AP166" s="139"/>
      <c r="AQ166" s="139"/>
      <c r="AR166" s="139"/>
      <c r="AS166" s="139"/>
      <c r="AT166" s="139"/>
      <c r="AU166" s="139"/>
      <c r="AV166" s="139"/>
      <c r="AW166" s="139"/>
      <c r="AY166" s="97"/>
      <c r="AZ166" s="209"/>
      <c r="BA166" s="97"/>
      <c r="BB166" s="97"/>
      <c r="BC166" s="97"/>
      <c r="BW166" s="202"/>
      <c r="BX166" s="202" t="str">
        <f>IFERROR(VLOOKUP($E166,'Pre-Assessment Estimator'!$E$11:$AB$228,'Pre-Assessment Estimator'!AB$2,FALSE),"")</f>
        <v/>
      </c>
      <c r="BY166" s="202" t="str">
        <f>IFERROR(VLOOKUP($E166,'Pre-Assessment Estimator'!$E$11:$AI$228,'Pre-Assessment Estimator'!AI$2,FALSE),"")</f>
        <v/>
      </c>
      <c r="BZ166" s="202" t="str">
        <f t="shared" ref="BZ166:CA169" si="433">IFERROR(VLOOKUP($BX166,$E$294:$H$327,F$292,FALSE),"")</f>
        <v/>
      </c>
      <c r="CA166" s="202" t="str">
        <f t="shared" si="433"/>
        <v/>
      </c>
      <c r="CB166" s="202"/>
      <c r="CC166" s="96" t="str">
        <f>IFERROR(VLOOKUP($BX166,$E$294:$H$327,I$292,FALSE),"")</f>
        <v/>
      </c>
    </row>
    <row r="167" spans="1:81" ht="15.75" thickBot="1" x14ac:dyDescent="0.3">
      <c r="A167" s="96">
        <v>159</v>
      </c>
      <c r="AI167" s="3"/>
      <c r="AJ167" s="3"/>
      <c r="AK167" s="3"/>
      <c r="AM167" s="139"/>
      <c r="AN167" s="139"/>
      <c r="AO167" s="139"/>
      <c r="AP167" s="139"/>
      <c r="AQ167" s="139"/>
      <c r="AR167" s="139"/>
      <c r="AS167" s="139"/>
      <c r="AT167" s="139"/>
      <c r="AU167" s="139"/>
      <c r="AV167" s="139"/>
      <c r="AW167" s="139"/>
      <c r="AY167" s="97"/>
      <c r="AZ167" s="97"/>
      <c r="BA167" s="97"/>
      <c r="BB167" s="97"/>
      <c r="BC167" s="97"/>
      <c r="BX167" s="96" t="str">
        <f>IFERROR(VLOOKUP($E167,'Pre-Assessment Estimator'!$E$11:$AB$228,'Pre-Assessment Estimator'!AB$2,FALSE),"")</f>
        <v/>
      </c>
      <c r="BY167" s="96" t="str">
        <f>IFERROR(VLOOKUP($E167,'Pre-Assessment Estimator'!$E$11:$AI$228,'Pre-Assessment Estimator'!AI$2,FALSE),"")</f>
        <v/>
      </c>
      <c r="BZ167" s="96" t="str">
        <f t="shared" si="433"/>
        <v/>
      </c>
      <c r="CA167" s="96" t="str">
        <f t="shared" si="433"/>
        <v/>
      </c>
      <c r="CC167" s="96" t="str">
        <f>IFERROR(VLOOKUP($BX167,$E$294:$H$327,I$292,FALSE),"")</f>
        <v/>
      </c>
    </row>
    <row r="168" spans="1:81" ht="60.75" thickBot="1" x14ac:dyDescent="0.3">
      <c r="A168" s="96">
        <v>160</v>
      </c>
      <c r="D168" s="151"/>
      <c r="E168" s="152" t="s">
        <v>224</v>
      </c>
      <c r="F168" s="1241" t="str">
        <f>$F$9</f>
        <v>Office</v>
      </c>
      <c r="G168" s="1241" t="str">
        <f>$G$9</f>
        <v>Retail</v>
      </c>
      <c r="H168" s="1245" t="str">
        <f>$H$9</f>
        <v>Residential</v>
      </c>
      <c r="I168" s="1241" t="str">
        <f>$I$9</f>
        <v>Industrial</v>
      </c>
      <c r="J168" s="1243" t="str">
        <f>$J$9</f>
        <v>Healthcare</v>
      </c>
      <c r="K168" s="1243" t="str">
        <f>$K$9</f>
        <v>Prison</v>
      </c>
      <c r="L168" s="1243" t="str">
        <f>$L$9</f>
        <v>Law Court</v>
      </c>
      <c r="M168" s="1247" t="str">
        <f>$M$9</f>
        <v>Residential institution (long term stay)</v>
      </c>
      <c r="N168" s="918" t="str">
        <f>$N$9</f>
        <v>Residential institution (short term stay)</v>
      </c>
      <c r="O168" s="918" t="str">
        <f>$O$9</f>
        <v>Non-residential institution</v>
      </c>
      <c r="P168" s="918" t="str">
        <f>$P$9</f>
        <v>Assembly and leisure</v>
      </c>
      <c r="Q168" s="1243" t="str">
        <f>$Q$9</f>
        <v>Education</v>
      </c>
      <c r="R168" s="857" t="str">
        <f>$R$9</f>
        <v>Other</v>
      </c>
      <c r="T168" s="138" t="str">
        <f>$E$6</f>
        <v>Office</v>
      </c>
      <c r="U168" s="210"/>
      <c r="V168" s="211"/>
      <c r="W168" s="211"/>
      <c r="X168" s="211"/>
      <c r="Y168" s="1165" t="s">
        <v>411</v>
      </c>
      <c r="Z168" s="347" t="s">
        <v>334</v>
      </c>
      <c r="AA168" s="150" t="s">
        <v>213</v>
      </c>
      <c r="AB168" s="59" t="s">
        <v>15</v>
      </c>
      <c r="AI168" s="42"/>
      <c r="AJ168" s="60"/>
      <c r="AK168" s="60"/>
      <c r="AM168" s="139"/>
      <c r="AN168" s="139"/>
      <c r="AO168" s="139"/>
      <c r="AP168" s="139"/>
      <c r="AQ168" s="139"/>
      <c r="AR168" s="139"/>
      <c r="AS168" s="139"/>
      <c r="AT168" s="139"/>
      <c r="AU168" s="139"/>
      <c r="AV168" s="139"/>
      <c r="AW168" s="139"/>
      <c r="AY168" s="97"/>
      <c r="AZ168" s="97"/>
      <c r="BA168" s="97"/>
      <c r="BB168" s="97"/>
      <c r="BC168" s="97"/>
      <c r="BO168" s="60"/>
      <c r="BP168" s="60"/>
      <c r="BQ168" s="60"/>
      <c r="BR168" s="60"/>
      <c r="BS168" s="60"/>
      <c r="BT168" s="60"/>
      <c r="BW168" s="146"/>
      <c r="BX168" s="146" t="str">
        <f>E168</f>
        <v>Land &amp; Ecology</v>
      </c>
      <c r="BY168" s="146" t="str">
        <f>IFERROR(VLOOKUP($E168,'Pre-Assessment Estimator'!$E$11:$AI$228,'Pre-Assessment Estimator'!AI$2,FALSE),"")</f>
        <v/>
      </c>
      <c r="BZ168" s="146" t="str">
        <f t="shared" si="433"/>
        <v/>
      </c>
      <c r="CA168" s="146" t="str">
        <f t="shared" si="433"/>
        <v/>
      </c>
      <c r="CB168" s="146"/>
      <c r="CC168" s="96" t="str">
        <f>IFERROR(VLOOKUP($BX168,$E$294:$H$327,I$292,FALSE),"")</f>
        <v/>
      </c>
    </row>
    <row r="169" spans="1:81" x14ac:dyDescent="0.25">
      <c r="A169" s="96">
        <v>161</v>
      </c>
      <c r="B169" s="137" t="str">
        <f>D169</f>
        <v>LE 01</v>
      </c>
      <c r="C169" s="137" t="str">
        <f>B169</f>
        <v>LE 01</v>
      </c>
      <c r="D169" s="858" t="s">
        <v>179</v>
      </c>
      <c r="E169" s="859" t="s">
        <v>159</v>
      </c>
      <c r="F169" s="933">
        <f>F170</f>
        <v>2</v>
      </c>
      <c r="G169" s="933">
        <f t="shared" ref="G169:R169" si="434">G170</f>
        <v>2</v>
      </c>
      <c r="H169" s="933">
        <f t="shared" si="434"/>
        <v>2</v>
      </c>
      <c r="I169" s="933">
        <f t="shared" si="434"/>
        <v>2</v>
      </c>
      <c r="J169" s="933">
        <f t="shared" si="434"/>
        <v>2</v>
      </c>
      <c r="K169" s="933">
        <f t="shared" si="434"/>
        <v>2</v>
      </c>
      <c r="L169" s="933">
        <f t="shared" si="434"/>
        <v>2</v>
      </c>
      <c r="M169" s="933">
        <f t="shared" si="434"/>
        <v>2</v>
      </c>
      <c r="N169" s="933">
        <f t="shared" si="434"/>
        <v>2</v>
      </c>
      <c r="O169" s="933">
        <f t="shared" si="434"/>
        <v>2</v>
      </c>
      <c r="P169" s="933">
        <f t="shared" si="434"/>
        <v>2</v>
      </c>
      <c r="Q169" s="933">
        <f t="shared" si="434"/>
        <v>2</v>
      </c>
      <c r="R169" s="933">
        <f t="shared" si="434"/>
        <v>2</v>
      </c>
      <c r="T169" s="961">
        <f t="shared" ref="T169:T197" si="435">HLOOKUP($E$6,$F$9:$R$231,$A169,FALSE)</f>
        <v>2</v>
      </c>
      <c r="U169" s="222"/>
      <c r="V169" s="230"/>
      <c r="W169" s="230"/>
      <c r="X169" s="230">
        <f>'Manuell filtrering og justering'!E75</f>
        <v>0</v>
      </c>
      <c r="Y169" s="230"/>
      <c r="Z169" s="958">
        <f t="shared" ref="Z169" si="436">Z170</f>
        <v>2</v>
      </c>
      <c r="AA169" s="963">
        <f t="shared" ref="AA169:AA196" si="437">IF(SUM(U169:Y169)&gt;T169,T169,SUM(U169:Y169))</f>
        <v>0</v>
      </c>
      <c r="AB169" s="1066">
        <f>SUM(AB170)</f>
        <v>2</v>
      </c>
      <c r="AD169" s="171">
        <f t="shared" ref="AD169:AD196" si="438">(LE_Weight/LE_Credits)*AB169</f>
        <v>1.5789473684210527E-2</v>
      </c>
      <c r="AE169" s="921">
        <f>SUM(AE170)</f>
        <v>0</v>
      </c>
      <c r="AF169" s="921">
        <f t="shared" ref="AF169" si="439">SUM(AF170)</f>
        <v>0</v>
      </c>
      <c r="AG169" s="921">
        <f t="shared" ref="AG169" si="440">SUM(AG170)</f>
        <v>0</v>
      </c>
      <c r="AI169" s="958">
        <f t="shared" ref="AI169" si="441">AI170</f>
        <v>0</v>
      </c>
      <c r="AJ169" s="958">
        <f t="shared" ref="AJ169" si="442">AJ170</f>
        <v>0</v>
      </c>
      <c r="AK169" s="958">
        <f t="shared" ref="AK169" si="443">AK170</f>
        <v>0</v>
      </c>
      <c r="AM169" s="298"/>
      <c r="AN169" s="299"/>
      <c r="AO169" s="299"/>
      <c r="AP169" s="299"/>
      <c r="AQ169" s="300"/>
      <c r="AR169" s="139"/>
      <c r="AS169" s="298"/>
      <c r="AT169" s="299"/>
      <c r="AU169" s="299"/>
      <c r="AV169" s="299"/>
      <c r="AW169" s="300"/>
      <c r="AY169" s="218"/>
      <c r="AZ169" s="219"/>
      <c r="BA169" s="219"/>
      <c r="BB169" s="219"/>
      <c r="BC169" s="220"/>
      <c r="BD169" s="174">
        <f t="shared" si="60"/>
        <v>9</v>
      </c>
      <c r="BE169" s="164" t="str">
        <f t="shared" ref="BE169:BE196" si="444">VLOOKUP(BD169,$BO$285:$BT$291,6,FALSE)</f>
        <v>N/A</v>
      </c>
      <c r="BF169" s="178"/>
      <c r="BG169" s="174">
        <f t="shared" ref="BG169:BG172" si="445">IF(BC169=0,9,IF(AJ169&gt;=BC169,5,IF(AJ169&gt;=BB169,4,IF(AJ169&gt;=BA169,3,IF(AJ169&gt;=AZ169,2,IF(AJ169&lt;AY169,0,1))))))</f>
        <v>9</v>
      </c>
      <c r="BH169" s="164" t="str">
        <f t="shared" ref="BH169:BH196" si="446">VLOOKUP(BG169,$BO$285:$BT$291,6,FALSE)</f>
        <v>N/A</v>
      </c>
      <c r="BI169" s="178"/>
      <c r="BJ169" s="174">
        <f t="shared" ref="BJ169:BJ225" si="447">IF(BC169=0,9,IF(AK169&gt;=BC169,5,IF(AK169&gt;=BB169,4,IF(AK169&gt;=BA169,3,IF(AK169&gt;=AZ169,2,IF(AK169&lt;AY169,0,1))))))</f>
        <v>9</v>
      </c>
      <c r="BK169" s="164" t="str">
        <f t="shared" ref="BK169:BK196" si="448">VLOOKUP(BJ169,$BO$285:$BT$291,6,FALSE)</f>
        <v>N/A</v>
      </c>
      <c r="BL169" s="178"/>
      <c r="BO169" s="167"/>
      <c r="BP169" s="167"/>
      <c r="BQ169" s="167" t="str">
        <f t="shared" si="342"/>
        <v/>
      </c>
      <c r="BR169" s="167">
        <f t="shared" si="399"/>
        <v>9</v>
      </c>
      <c r="BS169" s="167">
        <f t="shared" si="400"/>
        <v>9</v>
      </c>
      <c r="BT169" s="167">
        <f t="shared" si="401"/>
        <v>9</v>
      </c>
      <c r="BW169" s="164" t="str">
        <f>D169</f>
        <v>LE 01</v>
      </c>
      <c r="BX169" s="164" t="str">
        <f>IFERROR(VLOOKUP($E169,'Pre-Assessment Estimator'!$E$11:$AB$228,'Pre-Assessment Estimator'!AB$2,FALSE),"")</f>
        <v>N/A</v>
      </c>
      <c r="BY169" s="164">
        <f>IFERROR(VLOOKUP($E169,'Pre-Assessment Estimator'!$E$11:$AI$228,'Pre-Assessment Estimator'!AI$2,FALSE),"")</f>
        <v>0</v>
      </c>
      <c r="BZ169" s="164">
        <f t="shared" si="433"/>
        <v>1</v>
      </c>
      <c r="CA169" s="164">
        <f t="shared" si="433"/>
        <v>0</v>
      </c>
      <c r="CB169" s="164"/>
      <c r="CC169" s="96" t="str">
        <f>IFERROR(VLOOKUP($BX169,$E$294:$H$327,I$292,FALSE),"")</f>
        <v/>
      </c>
    </row>
    <row r="170" spans="1:81" x14ac:dyDescent="0.25">
      <c r="A170" s="96">
        <v>162</v>
      </c>
      <c r="B170" s="96" t="str">
        <f t="shared" ref="B170" si="449">$D$169&amp;D170</f>
        <v>LE 01a</v>
      </c>
      <c r="C170" s="96" t="str">
        <f t="shared" si="344"/>
        <v>LE 01</v>
      </c>
      <c r="D170" s="166" t="s">
        <v>692</v>
      </c>
      <c r="E170" s="1107" t="s">
        <v>670</v>
      </c>
      <c r="F170" s="775">
        <v>2</v>
      </c>
      <c r="G170" s="775">
        <v>2</v>
      </c>
      <c r="H170" s="775">
        <v>2</v>
      </c>
      <c r="I170" s="775">
        <v>2</v>
      </c>
      <c r="J170" s="775">
        <v>2</v>
      </c>
      <c r="K170" s="775">
        <v>2</v>
      </c>
      <c r="L170" s="775">
        <v>2</v>
      </c>
      <c r="M170" s="775">
        <v>2</v>
      </c>
      <c r="N170" s="775">
        <v>2</v>
      </c>
      <c r="O170" s="775">
        <v>2</v>
      </c>
      <c r="P170" s="775">
        <v>2</v>
      </c>
      <c r="Q170" s="775">
        <v>2</v>
      </c>
      <c r="R170" s="775">
        <v>2</v>
      </c>
      <c r="T170" s="221">
        <f t="shared" si="435"/>
        <v>2</v>
      </c>
      <c r="U170" s="166"/>
      <c r="V170" s="167"/>
      <c r="W170" s="167"/>
      <c r="X170" s="167"/>
      <c r="Y170" s="168"/>
      <c r="Z170" s="168">
        <f>VLOOKUP(B170,'Manuell filtrering og justering'!$A$7:$H$253,'Manuell filtrering og justering'!$H$1,FALSE)</f>
        <v>2</v>
      </c>
      <c r="AA170" s="169">
        <f t="shared" si="437"/>
        <v>0</v>
      </c>
      <c r="AB170" s="170">
        <f>IF($AC$5='Manuell filtrering og justering'!$J$2,Z170,(T170-AA170))</f>
        <v>2</v>
      </c>
      <c r="AD170" s="171">
        <f t="shared" si="438"/>
        <v>1.5789473684210527E-2</v>
      </c>
      <c r="AE170" s="171">
        <f t="shared" ref="AE170:AE196" si="450">IF(AB170=0,0,(AD170/AB170)*AI170)</f>
        <v>0</v>
      </c>
      <c r="AF170" s="171">
        <f t="shared" ref="AF170:AF196" si="451">IF(AB170=0,0,(AD170/AB170)*AJ170)</f>
        <v>0</v>
      </c>
      <c r="AG170" s="171">
        <f t="shared" ref="AG170:AG196" si="452">IF(AB170=0,0,(AD170/AB170)*AK170)</f>
        <v>0</v>
      </c>
      <c r="AI170" s="172">
        <f>IF(VLOOKUP(E170,'Pre-Assessment Estimator'!$E$11:$Z$228,'Pre-Assessment Estimator'!$G$2,FALSE)&gt;AB170,AB170,VLOOKUP(E170,'Pre-Assessment Estimator'!$E$11:$Z$228,'Pre-Assessment Estimator'!$G$2,FALSE))</f>
        <v>0</v>
      </c>
      <c r="AJ170" s="172">
        <f>IF(VLOOKUP(E170,'Pre-Assessment Estimator'!$E$11:$Z$228,'Pre-Assessment Estimator'!$N$2,FALSE)&gt;AB170,AB170,VLOOKUP(E170,'Pre-Assessment Estimator'!$E$11:$Z$228,'Pre-Assessment Estimator'!$N$2,FALSE))</f>
        <v>0</v>
      </c>
      <c r="AK170" s="172">
        <f>IF(VLOOKUP(E170,'Pre-Assessment Estimator'!$E$11:$Z$228,'Pre-Assessment Estimator'!$U$2,FALSE)&gt;AB170,AB170,VLOOKUP(E170,'Pre-Assessment Estimator'!$E$11:$Z$228,'Pre-Assessment Estimator'!$U$2,FALSE))</f>
        <v>0</v>
      </c>
      <c r="AM170" s="835"/>
      <c r="AN170" s="836"/>
      <c r="AO170" s="836"/>
      <c r="AP170" s="836"/>
      <c r="AQ170" s="837"/>
      <c r="AR170" s="139"/>
      <c r="AS170" s="835"/>
      <c r="AT170" s="836"/>
      <c r="AU170" s="836"/>
      <c r="AV170" s="836"/>
      <c r="AW170" s="837"/>
      <c r="AY170" s="708"/>
      <c r="AZ170" s="709"/>
      <c r="BA170" s="709"/>
      <c r="BB170" s="709"/>
      <c r="BC170" s="838"/>
      <c r="BD170" s="182">
        <f t="shared" ref="BD170" si="453">IF(BC170=0,9,IF(AI170&gt;=BC170,5,IF(AI170&gt;=BB170,4,IF(AI170&gt;=BA170,3,IF(AI170&gt;=AZ170,2,IF(AI170&lt;AY170,0,1))))))</f>
        <v>9</v>
      </c>
      <c r="BE170" s="164" t="str">
        <f t="shared" si="444"/>
        <v>N/A</v>
      </c>
      <c r="BF170" s="185"/>
      <c r="BG170" s="182">
        <f t="shared" ref="BG170" si="454">IF(BC170=0,9,IF(AJ170&gt;=BC170,5,IF(AJ170&gt;=BB170,4,IF(AJ170&gt;=BA170,3,IF(AJ170&gt;=AZ170,2,IF(AJ170&lt;AY170,0,1))))))</f>
        <v>9</v>
      </c>
      <c r="BH170" s="164" t="str">
        <f t="shared" si="446"/>
        <v>N/A</v>
      </c>
      <c r="BI170" s="185"/>
      <c r="BJ170" s="182">
        <f t="shared" ref="BJ170" si="455">IF(BC170=0,9,IF(AK170&gt;=BC170,5,IF(AK170&gt;=BB170,4,IF(AK170&gt;=BA170,3,IF(AK170&gt;=AZ170,2,IF(AK170&lt;AY170,0,1))))))</f>
        <v>9</v>
      </c>
      <c r="BK170" s="164" t="str">
        <f t="shared" si="448"/>
        <v>N/A</v>
      </c>
      <c r="BL170" s="830"/>
      <c r="BO170" s="167"/>
      <c r="BP170" s="167"/>
      <c r="BQ170" s="167" t="str">
        <f t="shared" si="342"/>
        <v/>
      </c>
      <c r="BR170" s="167">
        <f t="shared" si="399"/>
        <v>9</v>
      </c>
      <c r="BS170" s="167">
        <f t="shared" si="400"/>
        <v>9</v>
      </c>
      <c r="BT170" s="167">
        <f t="shared" si="401"/>
        <v>9</v>
      </c>
      <c r="BW170" s="164"/>
      <c r="BX170" s="164"/>
      <c r="BY170" s="164"/>
      <c r="BZ170" s="164"/>
      <c r="CA170" s="164"/>
      <c r="CB170" s="164"/>
    </row>
    <row r="171" spans="1:81" x14ac:dyDescent="0.25">
      <c r="A171" s="96">
        <v>163</v>
      </c>
      <c r="B171" s="137" t="str">
        <f>D171</f>
        <v>LE 02</v>
      </c>
      <c r="C171" s="137" t="str">
        <f>B171</f>
        <v>LE 02</v>
      </c>
      <c r="D171" s="834" t="s">
        <v>180</v>
      </c>
      <c r="E171" s="832" t="s">
        <v>468</v>
      </c>
      <c r="F171" s="933">
        <f>SUM(F172:F174)</f>
        <v>2</v>
      </c>
      <c r="G171" s="933">
        <f t="shared" ref="G171:R171" si="456">SUM(G172:G174)</f>
        <v>2</v>
      </c>
      <c r="H171" s="933">
        <f t="shared" si="456"/>
        <v>2</v>
      </c>
      <c r="I171" s="933">
        <f t="shared" si="456"/>
        <v>2</v>
      </c>
      <c r="J171" s="933">
        <f t="shared" si="456"/>
        <v>2</v>
      </c>
      <c r="K171" s="933">
        <f t="shared" si="456"/>
        <v>2</v>
      </c>
      <c r="L171" s="933">
        <f t="shared" si="456"/>
        <v>2</v>
      </c>
      <c r="M171" s="933">
        <f t="shared" si="456"/>
        <v>2</v>
      </c>
      <c r="N171" s="933">
        <f t="shared" si="456"/>
        <v>2</v>
      </c>
      <c r="O171" s="933">
        <f t="shared" si="456"/>
        <v>2</v>
      </c>
      <c r="P171" s="933">
        <f t="shared" si="456"/>
        <v>2</v>
      </c>
      <c r="Q171" s="933">
        <f t="shared" ref="Q171" si="457">SUM(Q172:Q174)</f>
        <v>2</v>
      </c>
      <c r="R171" s="933">
        <f t="shared" si="456"/>
        <v>2</v>
      </c>
      <c r="T171" s="963">
        <f t="shared" si="435"/>
        <v>2</v>
      </c>
      <c r="U171" s="222"/>
      <c r="V171" s="230"/>
      <c r="W171" s="230"/>
      <c r="X171" s="230">
        <f>'Manuell filtrering og justering'!E76</f>
        <v>0</v>
      </c>
      <c r="Y171" s="230"/>
      <c r="Z171" s="958">
        <f t="shared" ref="Z171" si="458">SUM(Z172:Z174)</f>
        <v>2</v>
      </c>
      <c r="AA171" s="963">
        <f t="shared" si="437"/>
        <v>0</v>
      </c>
      <c r="AB171" s="1066">
        <f>SUM(AB172:AB174)</f>
        <v>2</v>
      </c>
      <c r="AD171" s="171">
        <f t="shared" si="438"/>
        <v>1.5789473684210527E-2</v>
      </c>
      <c r="AE171" s="921">
        <f>SUM(AE172:AE174)</f>
        <v>0</v>
      </c>
      <c r="AF171" s="921">
        <f t="shared" ref="AF171" si="459">SUM(AF172:AF174)</f>
        <v>0</v>
      </c>
      <c r="AG171" s="921">
        <f t="shared" ref="AG171" si="460">SUM(AG172:AG174)</f>
        <v>0</v>
      </c>
      <c r="AI171" s="958">
        <f t="shared" ref="AI171" si="461">SUM(AI172:AI174)</f>
        <v>0</v>
      </c>
      <c r="AJ171" s="958">
        <f t="shared" ref="AJ171" si="462">SUM(AJ172:AJ174)</f>
        <v>0</v>
      </c>
      <c r="AK171" s="958">
        <f t="shared" ref="AK171" si="463">SUM(AK172:AK174)</f>
        <v>0</v>
      </c>
      <c r="AM171" s="292"/>
      <c r="AN171" s="293"/>
      <c r="AO171" s="293"/>
      <c r="AP171" s="181"/>
      <c r="AQ171" s="186"/>
      <c r="AR171" s="139"/>
      <c r="AS171" s="291"/>
      <c r="AT171" s="181"/>
      <c r="AU171" s="181"/>
      <c r="AV171" s="181"/>
      <c r="AW171" s="186"/>
      <c r="AY171" s="188"/>
      <c r="AZ171" s="189"/>
      <c r="BA171" s="189"/>
      <c r="BB171" s="189"/>
      <c r="BC171" s="190"/>
      <c r="BD171" s="182">
        <f t="shared" ref="BD171:BD225" si="464">IF(BC171=0,9,IF(AI171&gt;=BC171,5,IF(AI171&gt;=BB171,4,IF(AI171&gt;=BA171,3,IF(AI171&gt;=AZ171,2,IF(AI171&lt;AY171,0,1))))))</f>
        <v>9</v>
      </c>
      <c r="BE171" s="164" t="str">
        <f t="shared" si="444"/>
        <v>N/A</v>
      </c>
      <c r="BF171" s="185"/>
      <c r="BG171" s="182">
        <f t="shared" si="445"/>
        <v>9</v>
      </c>
      <c r="BH171" s="164" t="str">
        <f t="shared" si="446"/>
        <v>N/A</v>
      </c>
      <c r="BI171" s="185"/>
      <c r="BJ171" s="182">
        <f t="shared" si="447"/>
        <v>9</v>
      </c>
      <c r="BK171" s="164" t="str">
        <f t="shared" si="448"/>
        <v>N/A</v>
      </c>
      <c r="BL171" s="185"/>
      <c r="BO171" s="167"/>
      <c r="BP171" s="167"/>
      <c r="BQ171" s="167" t="str">
        <f t="shared" si="342"/>
        <v/>
      </c>
      <c r="BR171" s="167">
        <f t="shared" si="399"/>
        <v>9</v>
      </c>
      <c r="BS171" s="167">
        <f t="shared" si="400"/>
        <v>9</v>
      </c>
      <c r="BT171" s="167">
        <f t="shared" si="401"/>
        <v>9</v>
      </c>
      <c r="BW171" s="167" t="str">
        <f>D171</f>
        <v>LE 02</v>
      </c>
      <c r="BX171" s="167" t="str">
        <f>IFERROR(VLOOKUP($E171,'Pre-Assessment Estimator'!$E$11:$AB$228,'Pre-Assessment Estimator'!AB$2,FALSE),"")</f>
        <v>N/A</v>
      </c>
      <c r="BY171" s="167">
        <f>IFERROR(VLOOKUP($E171,'Pre-Assessment Estimator'!$E$11:$AI$228,'Pre-Assessment Estimator'!AI$2,FALSE),"")</f>
        <v>0</v>
      </c>
      <c r="BZ171" s="167">
        <f>IFERROR(VLOOKUP($BX171,$E$294:$H$327,F$292,FALSE),"")</f>
        <v>1</v>
      </c>
      <c r="CA171" s="167">
        <f>IFERROR(VLOOKUP($BX171,$E$294:$H$327,G$292,FALSE),"")</f>
        <v>0</v>
      </c>
      <c r="CB171" s="167"/>
      <c r="CC171" s="96" t="str">
        <f>IFERROR(VLOOKUP($BX171,$E$294:$H$327,I$292,FALSE),"")</f>
        <v/>
      </c>
    </row>
    <row r="172" spans="1:81" x14ac:dyDescent="0.25">
      <c r="A172" s="96">
        <v>164</v>
      </c>
      <c r="C172" s="96" t="str">
        <f t="shared" si="344"/>
        <v>LE 02</v>
      </c>
      <c r="D172" s="166" t="s">
        <v>692</v>
      </c>
      <c r="E172" s="940" t="s">
        <v>1029</v>
      </c>
      <c r="F172" s="775"/>
      <c r="G172" s="775"/>
      <c r="H172" s="775"/>
      <c r="I172" s="775"/>
      <c r="J172" s="775"/>
      <c r="K172" s="775"/>
      <c r="L172" s="775"/>
      <c r="M172" s="775"/>
      <c r="N172" s="775"/>
      <c r="O172" s="775"/>
      <c r="P172" s="775"/>
      <c r="Q172" s="775"/>
      <c r="R172" s="775"/>
      <c r="T172" s="221">
        <f t="shared" si="435"/>
        <v>0</v>
      </c>
      <c r="U172" s="166"/>
      <c r="V172" s="167"/>
      <c r="W172" s="167"/>
      <c r="X172" s="167"/>
      <c r="Y172" s="168"/>
      <c r="Z172" s="168"/>
      <c r="AA172" s="169">
        <f t="shared" si="437"/>
        <v>0</v>
      </c>
      <c r="AB172" s="170">
        <f>IF($AC$5='Manuell filtrering og justering'!$J$2,Z172,(T172-AA172))</f>
        <v>0</v>
      </c>
      <c r="AD172" s="171">
        <f t="shared" si="438"/>
        <v>0</v>
      </c>
      <c r="AE172" s="171">
        <f t="shared" si="450"/>
        <v>0</v>
      </c>
      <c r="AF172" s="171">
        <f t="shared" si="451"/>
        <v>0</v>
      </c>
      <c r="AG172" s="171">
        <f t="shared" si="452"/>
        <v>0</v>
      </c>
      <c r="AI172" s="172">
        <f>IF(VLOOKUP(E172,'Pre-Assessment Estimator'!$E$11:$Z$228,'Pre-Assessment Estimator'!$G$2,FALSE)&gt;AB172,AB172,VLOOKUP(E172,'Pre-Assessment Estimator'!$E$11:$Z$228,'Pre-Assessment Estimator'!$G$2,FALSE))</f>
        <v>0</v>
      </c>
      <c r="AJ172" s="172">
        <f>IF(VLOOKUP(E172,'Pre-Assessment Estimator'!$E$11:$Z$228,'Pre-Assessment Estimator'!$N$2,FALSE)&gt;AB172,AB172,VLOOKUP(E172,'Pre-Assessment Estimator'!$E$11:$Z$228,'Pre-Assessment Estimator'!$N$2,FALSE))</f>
        <v>0</v>
      </c>
      <c r="AK172" s="172">
        <f>IF(VLOOKUP(E172,'Pre-Assessment Estimator'!$E$11:$Z$228,'Pre-Assessment Estimator'!$U$2,FALSE)&gt;AB172,AB172,VLOOKUP(E172,'Pre-Assessment Estimator'!$E$11:$Z$228,'Pre-Assessment Estimator'!$U$2,FALSE))</f>
        <v>0</v>
      </c>
      <c r="AM172" s="292"/>
      <c r="AN172" s="293"/>
      <c r="AO172" s="293"/>
      <c r="AP172" s="181"/>
      <c r="AQ172" s="186"/>
      <c r="AR172" s="139"/>
      <c r="AS172" s="291"/>
      <c r="AT172" s="181"/>
      <c r="AU172" s="181"/>
      <c r="AV172" s="181"/>
      <c r="AW172" s="186"/>
      <c r="AY172" s="188"/>
      <c r="AZ172" s="189"/>
      <c r="BA172" s="189"/>
      <c r="BB172" s="189"/>
      <c r="BC172" s="190"/>
      <c r="BD172" s="182">
        <f t="shared" si="464"/>
        <v>9</v>
      </c>
      <c r="BE172" s="164" t="str">
        <f t="shared" si="444"/>
        <v>N/A</v>
      </c>
      <c r="BF172" s="185"/>
      <c r="BG172" s="182">
        <f t="shared" si="445"/>
        <v>9</v>
      </c>
      <c r="BH172" s="164" t="str">
        <f t="shared" si="446"/>
        <v>N/A</v>
      </c>
      <c r="BI172" s="185"/>
      <c r="BJ172" s="182">
        <f t="shared" si="447"/>
        <v>9</v>
      </c>
      <c r="BK172" s="164" t="str">
        <f t="shared" si="448"/>
        <v>N/A</v>
      </c>
      <c r="BL172" s="185"/>
      <c r="BO172" s="167"/>
      <c r="BP172" s="167"/>
      <c r="BQ172" s="167" t="str">
        <f t="shared" si="342"/>
        <v/>
      </c>
      <c r="BR172" s="167">
        <f t="shared" si="399"/>
        <v>9</v>
      </c>
      <c r="BS172" s="167">
        <f t="shared" si="400"/>
        <v>9</v>
      </c>
      <c r="BT172" s="167">
        <f t="shared" si="401"/>
        <v>9</v>
      </c>
      <c r="BW172" s="167"/>
      <c r="BX172" s="167"/>
      <c r="BY172" s="167"/>
      <c r="BZ172" s="167"/>
      <c r="CA172" s="167"/>
      <c r="CB172" s="167"/>
    </row>
    <row r="173" spans="1:81" x14ac:dyDescent="0.25">
      <c r="A173" s="96">
        <v>165</v>
      </c>
      <c r="B173" s="96" t="str">
        <f t="shared" ref="B173:B174" si="465">$D$171&amp;D173</f>
        <v>LE 02b</v>
      </c>
      <c r="C173" s="96" t="str">
        <f t="shared" si="344"/>
        <v>LE 02</v>
      </c>
      <c r="D173" s="188" t="s">
        <v>695</v>
      </c>
      <c r="E173" s="1248" t="s">
        <v>1058</v>
      </c>
      <c r="F173" s="775">
        <v>1</v>
      </c>
      <c r="G173" s="775">
        <v>1</v>
      </c>
      <c r="H173" s="775">
        <v>1</v>
      </c>
      <c r="I173" s="775">
        <v>1</v>
      </c>
      <c r="J173" s="775">
        <v>1</v>
      </c>
      <c r="K173" s="775">
        <v>1</v>
      </c>
      <c r="L173" s="775">
        <v>1</v>
      </c>
      <c r="M173" s="775">
        <v>1</v>
      </c>
      <c r="N173" s="775">
        <v>1</v>
      </c>
      <c r="O173" s="775">
        <v>1</v>
      </c>
      <c r="P173" s="775">
        <v>1</v>
      </c>
      <c r="Q173" s="775">
        <v>1</v>
      </c>
      <c r="R173" s="775">
        <v>1</v>
      </c>
      <c r="T173" s="221">
        <f t="shared" si="435"/>
        <v>1</v>
      </c>
      <c r="U173" s="166"/>
      <c r="V173" s="167"/>
      <c r="W173" s="167"/>
      <c r="X173" s="167"/>
      <c r="Y173" s="168"/>
      <c r="Z173" s="168">
        <f>VLOOKUP(B173,'Manuell filtrering og justering'!$A$7:$H$253,'Manuell filtrering og justering'!$H$1,FALSE)</f>
        <v>1</v>
      </c>
      <c r="AA173" s="169">
        <f t="shared" si="437"/>
        <v>0</v>
      </c>
      <c r="AB173" s="170">
        <f>IF($AC$5='Manuell filtrering og justering'!$J$2,Z173,(T173-AA173))</f>
        <v>1</v>
      </c>
      <c r="AD173" s="171">
        <f t="shared" si="438"/>
        <v>7.8947368421052634E-3</v>
      </c>
      <c r="AE173" s="171">
        <f t="shared" si="450"/>
        <v>0</v>
      </c>
      <c r="AF173" s="171">
        <f t="shared" si="451"/>
        <v>0</v>
      </c>
      <c r="AG173" s="171">
        <f t="shared" si="452"/>
        <v>0</v>
      </c>
      <c r="AI173" s="1067">
        <f>IF(AI242=AD_no,0,IF(VLOOKUP(E173,'Pre-Assessment Estimator'!$E$11:$Z$228,'Pre-Assessment Estimator'!$G$2,FALSE)&gt;AB173,AB173,VLOOKUP(E173,'Pre-Assessment Estimator'!$E$11:$Z$228,'Pre-Assessment Estimator'!$G$2,FALSE)))</f>
        <v>0</v>
      </c>
      <c r="AJ173" s="1067">
        <f>IF(AJ242=AD_no,0,IF(VLOOKUP(E173,'Pre-Assessment Estimator'!$E$11:$Z$228,'Pre-Assessment Estimator'!$N$2,FALSE)&gt;AB173,AB173,VLOOKUP(E173,'Pre-Assessment Estimator'!$E$11:$Z$228,'Pre-Assessment Estimator'!$N$2,FALSE)))</f>
        <v>0</v>
      </c>
      <c r="AK173" s="1067">
        <f>IF(AK242=AD_no,0,IF(VLOOKUP(E173,'Pre-Assessment Estimator'!$E$11:$Z$228,'Pre-Assessment Estimator'!$U$2,FALSE)&gt;AB173,AB173,VLOOKUP(E173,'Pre-Assessment Estimator'!$E$11:$Z$228,'Pre-Assessment Estimator'!$U$2,FALSE)))</f>
        <v>0</v>
      </c>
      <c r="AM173" s="292"/>
      <c r="AN173" s="293"/>
      <c r="AO173" s="293">
        <v>1</v>
      </c>
      <c r="AP173" s="181">
        <v>1</v>
      </c>
      <c r="AQ173" s="186">
        <v>1</v>
      </c>
      <c r="AR173" s="139"/>
      <c r="AS173" s="291"/>
      <c r="AT173" s="181"/>
      <c r="AU173" s="181">
        <v>1</v>
      </c>
      <c r="AV173" s="181">
        <v>1</v>
      </c>
      <c r="AW173" s="186">
        <v>1</v>
      </c>
      <c r="AY173" s="188"/>
      <c r="AZ173" s="189"/>
      <c r="BA173" s="183">
        <f>IF($AB173=0,0,IF($E$6=$H$9,AU173,AO173))</f>
        <v>1</v>
      </c>
      <c r="BB173" s="183">
        <f>IF($AB173=0,0,IF($E$6=$H$9,AV173,AP173))</f>
        <v>1</v>
      </c>
      <c r="BC173" s="183">
        <f>IF($AB173=0,0,IF($E$6=$H$9,AW173,AQ173))</f>
        <v>1</v>
      </c>
      <c r="BD173" s="182">
        <f t="shared" ref="BD173:BD191" si="466">IF(BC173=0,9,IF(AI173&gt;=BC173,5,IF(AI173&gt;=BB173,4,IF(AI173&gt;=BA173,3,IF(AI173&gt;=AZ173,2,IF(AI173&lt;AY173,0,1))))))</f>
        <v>2</v>
      </c>
      <c r="BE173" s="164" t="str">
        <f t="shared" si="444"/>
        <v>Good</v>
      </c>
      <c r="BF173" s="185"/>
      <c r="BG173" s="182">
        <f t="shared" ref="BG173:BG191" si="467">IF(BC173=0,9,IF(AJ173&gt;=BC173,5,IF(AJ173&gt;=BB173,4,IF(AJ173&gt;=BA173,3,IF(AJ173&gt;=AZ173,2,IF(AJ173&lt;AY173,0,1))))))</f>
        <v>2</v>
      </c>
      <c r="BH173" s="164" t="str">
        <f t="shared" si="446"/>
        <v>Good</v>
      </c>
      <c r="BI173" s="185"/>
      <c r="BJ173" s="182">
        <f t="shared" ref="BJ173:BJ191" si="468">IF(BC173=0,9,IF(AK173&gt;=BC173,5,IF(AK173&gt;=BB173,4,IF(AK173&gt;=BA173,3,IF(AK173&gt;=AZ173,2,IF(AK173&lt;AY173,0,1))))))</f>
        <v>2</v>
      </c>
      <c r="BK173" s="164" t="str">
        <f t="shared" si="448"/>
        <v>Good</v>
      </c>
      <c r="BL173" s="185"/>
      <c r="BO173" s="167"/>
      <c r="BP173" s="167">
        <v>1</v>
      </c>
      <c r="BQ173" s="167">
        <f t="shared" si="342"/>
        <v>1</v>
      </c>
      <c r="BR173" s="167">
        <f t="shared" si="399"/>
        <v>0</v>
      </c>
      <c r="BS173" s="167">
        <f t="shared" si="400"/>
        <v>0</v>
      </c>
      <c r="BT173" s="167">
        <f t="shared" si="401"/>
        <v>0</v>
      </c>
      <c r="BW173" s="167"/>
      <c r="BX173" s="167"/>
      <c r="BY173" s="167"/>
      <c r="BZ173" s="167"/>
      <c r="CA173" s="167"/>
      <c r="CB173" s="167"/>
    </row>
    <row r="174" spans="1:81" x14ac:dyDescent="0.25">
      <c r="A174" s="96">
        <v>166</v>
      </c>
      <c r="B174" s="96" t="str">
        <f t="shared" si="465"/>
        <v>LE 02c</v>
      </c>
      <c r="C174" s="96" t="str">
        <f t="shared" si="344"/>
        <v>LE 02</v>
      </c>
      <c r="D174" s="188" t="s">
        <v>696</v>
      </c>
      <c r="E174" s="1107" t="s">
        <v>673</v>
      </c>
      <c r="F174" s="775">
        <v>1</v>
      </c>
      <c r="G174" s="775">
        <v>1</v>
      </c>
      <c r="H174" s="775">
        <v>1</v>
      </c>
      <c r="I174" s="775">
        <v>1</v>
      </c>
      <c r="J174" s="775">
        <v>1</v>
      </c>
      <c r="K174" s="775">
        <v>1</v>
      </c>
      <c r="L174" s="775">
        <v>1</v>
      </c>
      <c r="M174" s="775">
        <v>1</v>
      </c>
      <c r="N174" s="775">
        <v>1</v>
      </c>
      <c r="O174" s="775">
        <v>1</v>
      </c>
      <c r="P174" s="775">
        <v>1</v>
      </c>
      <c r="Q174" s="775">
        <v>1</v>
      </c>
      <c r="R174" s="775">
        <v>1</v>
      </c>
      <c r="T174" s="221">
        <f t="shared" si="435"/>
        <v>1</v>
      </c>
      <c r="U174" s="166"/>
      <c r="V174" s="167"/>
      <c r="W174" s="167"/>
      <c r="X174" s="167"/>
      <c r="Y174" s="168"/>
      <c r="Z174" s="168">
        <f>VLOOKUP(B174,'Manuell filtrering og justering'!$A$7:$H$253,'Manuell filtrering og justering'!$H$1,FALSE)</f>
        <v>1</v>
      </c>
      <c r="AA174" s="169">
        <f t="shared" si="437"/>
        <v>0</v>
      </c>
      <c r="AB174" s="170">
        <f>IF($AC$5='Manuell filtrering og justering'!$J$2,Z174,(T174-AA174))</f>
        <v>1</v>
      </c>
      <c r="AD174" s="171">
        <f t="shared" si="438"/>
        <v>7.8947368421052634E-3</v>
      </c>
      <c r="AE174" s="171">
        <f t="shared" si="450"/>
        <v>0</v>
      </c>
      <c r="AF174" s="171">
        <f t="shared" si="451"/>
        <v>0</v>
      </c>
      <c r="AG174" s="171">
        <f t="shared" si="452"/>
        <v>0</v>
      </c>
      <c r="AI174" s="1067">
        <f>IF(AI242=AD_no,0,IF(VLOOKUP(E174,'Pre-Assessment Estimator'!$E$11:$Z$228,'Pre-Assessment Estimator'!$G$2,FALSE)&gt;AB174,AB174,VLOOKUP(E174,'Pre-Assessment Estimator'!$E$11:$Z$228,'Pre-Assessment Estimator'!$G$2,FALSE)))</f>
        <v>0</v>
      </c>
      <c r="AJ174" s="1067">
        <f>IF(AJ242=AD_no,0,IF(VLOOKUP(E174,'Pre-Assessment Estimator'!$E$11:$Z$228,'Pre-Assessment Estimator'!$N$2,FALSE)&gt;AB174,AB174,VLOOKUP(E174,'Pre-Assessment Estimator'!$E$11:$Z$228,'Pre-Assessment Estimator'!$N$2,FALSE)))</f>
        <v>0</v>
      </c>
      <c r="AK174" s="1067">
        <f>IF(AK242=AD_no,0,IF(VLOOKUP(E174,'Pre-Assessment Estimator'!$E$11:$Z$228,'Pre-Assessment Estimator'!$U$2,FALSE)&gt;AB174,AB174,VLOOKUP(E174,'Pre-Assessment Estimator'!$E$11:$Z$228,'Pre-Assessment Estimator'!$U$2,FALSE)))</f>
        <v>0</v>
      </c>
      <c r="AM174" s="292"/>
      <c r="AN174" s="293"/>
      <c r="AO174" s="293"/>
      <c r="AP174" s="181"/>
      <c r="AQ174" s="186"/>
      <c r="AR174" s="139"/>
      <c r="AS174" s="291"/>
      <c r="AT174" s="181"/>
      <c r="AU174" s="181"/>
      <c r="AV174" s="181"/>
      <c r="AW174" s="186"/>
      <c r="AY174" s="188"/>
      <c r="AZ174" s="189"/>
      <c r="BA174" s="189"/>
      <c r="BB174" s="189"/>
      <c r="BC174" s="190"/>
      <c r="BD174" s="182">
        <f t="shared" si="466"/>
        <v>9</v>
      </c>
      <c r="BE174" s="164" t="str">
        <f t="shared" si="444"/>
        <v>N/A</v>
      </c>
      <c r="BF174" s="185"/>
      <c r="BG174" s="182">
        <f t="shared" si="467"/>
        <v>9</v>
      </c>
      <c r="BH174" s="164" t="str">
        <f t="shared" si="446"/>
        <v>N/A</v>
      </c>
      <c r="BI174" s="185"/>
      <c r="BJ174" s="182">
        <f t="shared" si="468"/>
        <v>9</v>
      </c>
      <c r="BK174" s="164" t="str">
        <f t="shared" si="448"/>
        <v>N/A</v>
      </c>
      <c r="BL174" s="185"/>
      <c r="BO174" s="167"/>
      <c r="BP174" s="167"/>
      <c r="BQ174" s="167"/>
      <c r="BR174" s="167">
        <f t="shared" si="399"/>
        <v>9</v>
      </c>
      <c r="BS174" s="167">
        <f t="shared" si="400"/>
        <v>9</v>
      </c>
      <c r="BT174" s="167">
        <f t="shared" si="401"/>
        <v>9</v>
      </c>
      <c r="BW174" s="167"/>
      <c r="BX174" s="167"/>
      <c r="BY174" s="167"/>
      <c r="BZ174" s="167"/>
      <c r="CA174" s="167"/>
      <c r="CB174" s="167"/>
    </row>
    <row r="175" spans="1:81" x14ac:dyDescent="0.25">
      <c r="A175" s="96">
        <v>167</v>
      </c>
      <c r="B175" s="137" t="str">
        <f>D175</f>
        <v>LE 03</v>
      </c>
      <c r="C175" s="137" t="str">
        <f>B175</f>
        <v>LE 03</v>
      </c>
      <c r="D175" s="946" t="s">
        <v>479</v>
      </c>
      <c r="E175" s="832" t="s">
        <v>469</v>
      </c>
      <c r="F175" s="933">
        <f>SUM(F176:F178)</f>
        <v>3</v>
      </c>
      <c r="G175" s="933">
        <f t="shared" ref="G175:R175" si="469">SUM(G176:G178)</f>
        <v>3</v>
      </c>
      <c r="H175" s="933">
        <f t="shared" si="469"/>
        <v>3</v>
      </c>
      <c r="I175" s="933">
        <f t="shared" si="469"/>
        <v>3</v>
      </c>
      <c r="J175" s="933">
        <f t="shared" si="469"/>
        <v>3</v>
      </c>
      <c r="K175" s="933">
        <f t="shared" si="469"/>
        <v>3</v>
      </c>
      <c r="L175" s="933">
        <f t="shared" si="469"/>
        <v>3</v>
      </c>
      <c r="M175" s="933">
        <f t="shared" si="469"/>
        <v>3</v>
      </c>
      <c r="N175" s="933">
        <f t="shared" si="469"/>
        <v>3</v>
      </c>
      <c r="O175" s="933">
        <f t="shared" si="469"/>
        <v>3</v>
      </c>
      <c r="P175" s="933">
        <f t="shared" si="469"/>
        <v>3</v>
      </c>
      <c r="Q175" s="933">
        <f t="shared" ref="Q175" si="470">SUM(Q176:Q178)</f>
        <v>3</v>
      </c>
      <c r="R175" s="933">
        <f t="shared" si="469"/>
        <v>3</v>
      </c>
      <c r="T175" s="963">
        <f t="shared" si="435"/>
        <v>3</v>
      </c>
      <c r="U175" s="222"/>
      <c r="V175" s="230"/>
      <c r="W175" s="230"/>
      <c r="X175" s="230">
        <f>'Manuell filtrering og justering'!E77</f>
        <v>0</v>
      </c>
      <c r="Y175" s="230"/>
      <c r="Z175" s="958">
        <f t="shared" ref="Z175" si="471">SUM(Z176:Z178)</f>
        <v>0</v>
      </c>
      <c r="AA175" s="963">
        <f t="shared" si="437"/>
        <v>0</v>
      </c>
      <c r="AB175" s="1066">
        <f>SUM(AB176:AB178)</f>
        <v>3</v>
      </c>
      <c r="AD175" s="171">
        <f t="shared" si="438"/>
        <v>2.368421052631579E-2</v>
      </c>
      <c r="AE175" s="921">
        <f>SUM(AE176:AE178)</f>
        <v>0</v>
      </c>
      <c r="AF175" s="921">
        <f t="shared" ref="AF175" si="472">SUM(AF176:AF178)</f>
        <v>0</v>
      </c>
      <c r="AG175" s="921">
        <f t="shared" ref="AG175" si="473">SUM(AG176:AG178)</f>
        <v>0</v>
      </c>
      <c r="AI175" s="958">
        <f t="shared" ref="AI175" si="474">SUM(AI176:AI178)</f>
        <v>0</v>
      </c>
      <c r="AJ175" s="958">
        <f t="shared" ref="AJ175" si="475">SUM(AJ176:AJ178)</f>
        <v>0</v>
      </c>
      <c r="AK175" s="958">
        <f t="shared" ref="AK175" si="476">SUM(AK176:AK178)</f>
        <v>0</v>
      </c>
      <c r="AM175" s="292"/>
      <c r="AN175" s="293"/>
      <c r="AO175" s="293"/>
      <c r="AP175" s="181"/>
      <c r="AQ175" s="186"/>
      <c r="AR175" s="139"/>
      <c r="AS175" s="291"/>
      <c r="AT175" s="181"/>
      <c r="AU175" s="181"/>
      <c r="AV175" s="181"/>
      <c r="AW175" s="186"/>
      <c r="AY175" s="188"/>
      <c r="AZ175" s="189"/>
      <c r="BA175" s="189"/>
      <c r="BB175" s="189"/>
      <c r="BC175" s="190"/>
      <c r="BD175" s="182">
        <f t="shared" si="466"/>
        <v>9</v>
      </c>
      <c r="BE175" s="164" t="str">
        <f t="shared" si="444"/>
        <v>N/A</v>
      </c>
      <c r="BF175" s="185"/>
      <c r="BG175" s="182">
        <f t="shared" si="467"/>
        <v>9</v>
      </c>
      <c r="BH175" s="164" t="str">
        <f t="shared" si="446"/>
        <v>N/A</v>
      </c>
      <c r="BI175" s="185"/>
      <c r="BJ175" s="182">
        <f t="shared" si="468"/>
        <v>9</v>
      </c>
      <c r="BK175" s="164" t="str">
        <f t="shared" si="448"/>
        <v>N/A</v>
      </c>
      <c r="BL175" s="185"/>
      <c r="BO175" s="167"/>
      <c r="BP175" s="167"/>
      <c r="BQ175" s="167" t="str">
        <f t="shared" si="342"/>
        <v/>
      </c>
      <c r="BR175" s="167">
        <f t="shared" si="399"/>
        <v>9</v>
      </c>
      <c r="BS175" s="167">
        <f t="shared" si="400"/>
        <v>9</v>
      </c>
      <c r="BT175" s="167">
        <f t="shared" si="401"/>
        <v>9</v>
      </c>
      <c r="BW175" s="167" t="str">
        <f>D175</f>
        <v>LE 03</v>
      </c>
      <c r="BX175" s="167"/>
      <c r="BY175" s="167"/>
      <c r="BZ175" s="167"/>
      <c r="CA175" s="167"/>
      <c r="CB175" s="167"/>
    </row>
    <row r="176" spans="1:81" x14ac:dyDescent="0.25">
      <c r="A176" s="96">
        <v>168</v>
      </c>
      <c r="C176" s="96" t="str">
        <f t="shared" si="344"/>
        <v>LE 03</v>
      </c>
      <c r="D176" s="188" t="s">
        <v>692</v>
      </c>
      <c r="E176" s="940" t="s">
        <v>674</v>
      </c>
      <c r="F176" s="775"/>
      <c r="G176" s="775"/>
      <c r="H176" s="775"/>
      <c r="I176" s="775"/>
      <c r="J176" s="775"/>
      <c r="K176" s="775"/>
      <c r="L176" s="775"/>
      <c r="M176" s="775"/>
      <c r="N176" s="775"/>
      <c r="O176" s="775"/>
      <c r="P176" s="775"/>
      <c r="Q176" s="775"/>
      <c r="R176" s="775"/>
      <c r="T176" s="221">
        <f t="shared" si="435"/>
        <v>0</v>
      </c>
      <c r="U176" s="166"/>
      <c r="V176" s="167"/>
      <c r="W176" s="167"/>
      <c r="X176" s="167"/>
      <c r="Y176" s="168"/>
      <c r="Z176" s="168"/>
      <c r="AA176" s="169">
        <f t="shared" si="437"/>
        <v>0</v>
      </c>
      <c r="AB176" s="170">
        <f>IF($AC$5='Manuell filtrering og justering'!$J$2,Z176,(T176-AA176))</f>
        <v>0</v>
      </c>
      <c r="AD176" s="171">
        <f t="shared" si="438"/>
        <v>0</v>
      </c>
      <c r="AE176" s="171">
        <f t="shared" si="450"/>
        <v>0</v>
      </c>
      <c r="AF176" s="171">
        <f t="shared" si="451"/>
        <v>0</v>
      </c>
      <c r="AG176" s="171">
        <f t="shared" si="452"/>
        <v>0</v>
      </c>
      <c r="AI176" s="172"/>
      <c r="AJ176" s="172"/>
      <c r="AK176" s="172"/>
      <c r="AM176" s="292"/>
      <c r="AN176" s="293"/>
      <c r="AO176" s="293"/>
      <c r="AP176" s="181"/>
      <c r="AQ176" s="186"/>
      <c r="AR176" s="139"/>
      <c r="AS176" s="291"/>
      <c r="AT176" s="181"/>
      <c r="AU176" s="181"/>
      <c r="AV176" s="181"/>
      <c r="AW176" s="186"/>
      <c r="AY176" s="188"/>
      <c r="AZ176" s="189"/>
      <c r="BA176" s="189"/>
      <c r="BB176" s="189"/>
      <c r="BC176" s="190"/>
      <c r="BD176" s="182">
        <f t="shared" si="466"/>
        <v>9</v>
      </c>
      <c r="BE176" s="164" t="str">
        <f t="shared" si="444"/>
        <v>N/A</v>
      </c>
      <c r="BF176" s="185"/>
      <c r="BG176" s="182">
        <f t="shared" si="467"/>
        <v>9</v>
      </c>
      <c r="BH176" s="164" t="str">
        <f t="shared" si="446"/>
        <v>N/A</v>
      </c>
      <c r="BI176" s="185"/>
      <c r="BJ176" s="182">
        <f t="shared" si="468"/>
        <v>9</v>
      </c>
      <c r="BK176" s="164" t="str">
        <f t="shared" si="448"/>
        <v>N/A</v>
      </c>
      <c r="BL176" s="185"/>
      <c r="BO176" s="167"/>
      <c r="BP176" s="167"/>
      <c r="BQ176" s="167" t="str">
        <f t="shared" si="342"/>
        <v/>
      </c>
      <c r="BR176" s="167">
        <f t="shared" si="399"/>
        <v>9</v>
      </c>
      <c r="BS176" s="167">
        <f t="shared" si="400"/>
        <v>9</v>
      </c>
      <c r="BT176" s="167">
        <f t="shared" si="401"/>
        <v>9</v>
      </c>
      <c r="BW176" s="167"/>
      <c r="BX176" s="167"/>
      <c r="BY176" s="167"/>
      <c r="BZ176" s="167"/>
      <c r="CA176" s="167"/>
      <c r="CB176" s="167"/>
    </row>
    <row r="177" spans="1:81" x14ac:dyDescent="0.25">
      <c r="A177" s="96">
        <v>169</v>
      </c>
      <c r="B177" s="96" t="str">
        <f t="shared" ref="B177:B178" si="477">$D$175&amp;D177</f>
        <v>LE 03b</v>
      </c>
      <c r="C177" s="96" t="str">
        <f t="shared" si="344"/>
        <v>LE 03</v>
      </c>
      <c r="D177" s="188" t="s">
        <v>695</v>
      </c>
      <c r="E177" s="1248" t="s">
        <v>675</v>
      </c>
      <c r="F177" s="775">
        <v>1</v>
      </c>
      <c r="G177" s="775">
        <v>1</v>
      </c>
      <c r="H177" s="775">
        <v>1</v>
      </c>
      <c r="I177" s="775">
        <v>1</v>
      </c>
      <c r="J177" s="775">
        <v>1</v>
      </c>
      <c r="K177" s="775">
        <v>1</v>
      </c>
      <c r="L177" s="775">
        <v>1</v>
      </c>
      <c r="M177" s="775">
        <v>1</v>
      </c>
      <c r="N177" s="775">
        <v>1</v>
      </c>
      <c r="O177" s="775">
        <v>1</v>
      </c>
      <c r="P177" s="775">
        <v>1</v>
      </c>
      <c r="Q177" s="775">
        <v>1</v>
      </c>
      <c r="R177" s="775">
        <v>1</v>
      </c>
      <c r="T177" s="221">
        <f t="shared" si="435"/>
        <v>1</v>
      </c>
      <c r="U177" s="166"/>
      <c r="V177" s="167"/>
      <c r="W177" s="167"/>
      <c r="X177" s="167"/>
      <c r="Y177" s="168"/>
      <c r="Z177" s="168">
        <f>VLOOKUP(B177,'Manuell filtrering og justering'!$A$7:$H$253,'Manuell filtrering og justering'!$H$1,FALSE)</f>
        <v>0</v>
      </c>
      <c r="AA177" s="169">
        <f t="shared" si="437"/>
        <v>0</v>
      </c>
      <c r="AB177" s="170">
        <f>IF($AC$5='Manuell filtrering og justering'!$J$2,Z177,(T177-AA177))</f>
        <v>1</v>
      </c>
      <c r="AD177" s="171">
        <f t="shared" si="438"/>
        <v>7.8947368421052634E-3</v>
      </c>
      <c r="AE177" s="171">
        <f t="shared" si="450"/>
        <v>0</v>
      </c>
      <c r="AF177" s="171">
        <f t="shared" si="451"/>
        <v>0</v>
      </c>
      <c r="AG177" s="171">
        <f t="shared" si="452"/>
        <v>0</v>
      </c>
      <c r="AI177" s="1067">
        <f>IF(AI243=AD_no,0,IF(VLOOKUP(E177,'Pre-Assessment Estimator'!$E$11:$Z$228,'Pre-Assessment Estimator'!$G$2,FALSE)&gt;AB177,AB177,VLOOKUP(E177,'Pre-Assessment Estimator'!$E$11:$Z$228,'Pre-Assessment Estimator'!$G$2,FALSE)))</f>
        <v>0</v>
      </c>
      <c r="AJ177" s="1067">
        <f>IF(AJ243=AD_no,0,IF(VLOOKUP(E177,'Pre-Assessment Estimator'!$E$11:$Z$228,'Pre-Assessment Estimator'!$N$2,FALSE)&gt;AB177,AB177,VLOOKUP(E177,'Pre-Assessment Estimator'!$E$11:$Z$228,'Pre-Assessment Estimator'!$N$2,FALSE)))</f>
        <v>0</v>
      </c>
      <c r="AK177" s="1067">
        <f>IF(AK243=AD_no,0,IF(VLOOKUP(E177,'Pre-Assessment Estimator'!$E$11:$Z$228,'Pre-Assessment Estimator'!$U$2,FALSE)&gt;AB177,AB177,VLOOKUP(E177,'Pre-Assessment Estimator'!$E$11:$Z$228,'Pre-Assessment Estimator'!$U$2,FALSE)))</f>
        <v>0</v>
      </c>
      <c r="AM177" s="292"/>
      <c r="AN177" s="293"/>
      <c r="AO177" s="293"/>
      <c r="AP177" s="181"/>
      <c r="AQ177" s="186"/>
      <c r="AR177" s="139"/>
      <c r="AS177" s="291"/>
      <c r="AT177" s="181"/>
      <c r="AU177" s="181"/>
      <c r="AV177" s="181"/>
      <c r="AW177" s="186"/>
      <c r="AY177" s="183"/>
      <c r="AZ177" s="183"/>
      <c r="BA177" s="183"/>
      <c r="BB177" s="183"/>
      <c r="BC177" s="183"/>
      <c r="BD177" s="182">
        <f t="shared" ref="BD177:BD178" si="478">IF(BC177=0,9,IF(AI177&gt;=BC177,5,IF(AI177&gt;=BB177,4,IF(AI177&gt;=BA177,3,IF(AI177&gt;=AZ177,2,IF(AI177&lt;AY177,0,1))))))</f>
        <v>9</v>
      </c>
      <c r="BE177" s="164" t="str">
        <f t="shared" si="444"/>
        <v>N/A</v>
      </c>
      <c r="BF177" s="185"/>
      <c r="BG177" s="182">
        <f t="shared" ref="BG177:BG178" si="479">IF(BC177=0,9,IF(AJ177&gt;=BC177,5,IF(AJ177&gt;=BB177,4,IF(AJ177&gt;=BA177,3,IF(AJ177&gt;=AZ177,2,IF(AJ177&lt;AY177,0,1))))))</f>
        <v>9</v>
      </c>
      <c r="BH177" s="164" t="str">
        <f t="shared" si="446"/>
        <v>N/A</v>
      </c>
      <c r="BI177" s="185"/>
      <c r="BJ177" s="182">
        <f t="shared" ref="BJ177:BJ178" si="480">IF(BC177=0,9,IF(AK177&gt;=BC177,5,IF(AK177&gt;=BB177,4,IF(AK177&gt;=BA177,3,IF(AK177&gt;=AZ177,2,IF(AK177&lt;AY177,0,1))))))</f>
        <v>9</v>
      </c>
      <c r="BK177" s="164" t="str">
        <f t="shared" si="448"/>
        <v>N/A</v>
      </c>
      <c r="BL177" s="185"/>
      <c r="BO177" s="167"/>
      <c r="BP177" s="167"/>
      <c r="BQ177" s="167" t="str">
        <f t="shared" si="342"/>
        <v/>
      </c>
      <c r="BR177" s="167">
        <f t="shared" si="399"/>
        <v>9</v>
      </c>
      <c r="BS177" s="167">
        <f t="shared" si="400"/>
        <v>9</v>
      </c>
      <c r="BT177" s="167">
        <f t="shared" si="401"/>
        <v>9</v>
      </c>
      <c r="BW177" s="167"/>
      <c r="BX177" s="167"/>
      <c r="BY177" s="167"/>
      <c r="BZ177" s="167"/>
      <c r="CA177" s="167"/>
      <c r="CB177" s="167"/>
    </row>
    <row r="178" spans="1:81" x14ac:dyDescent="0.25">
      <c r="A178" s="96">
        <v>170</v>
      </c>
      <c r="B178" s="96" t="str">
        <f t="shared" si="477"/>
        <v>LE 03c</v>
      </c>
      <c r="C178" s="96" t="str">
        <f t="shared" si="344"/>
        <v>LE 03</v>
      </c>
      <c r="D178" s="188" t="s">
        <v>696</v>
      </c>
      <c r="E178" s="1248" t="s">
        <v>676</v>
      </c>
      <c r="F178" s="775">
        <v>2</v>
      </c>
      <c r="G178" s="775">
        <v>2</v>
      </c>
      <c r="H178" s="775">
        <v>2</v>
      </c>
      <c r="I178" s="775">
        <v>2</v>
      </c>
      <c r="J178" s="775">
        <v>2</v>
      </c>
      <c r="K178" s="775">
        <v>2</v>
      </c>
      <c r="L178" s="775">
        <v>2</v>
      </c>
      <c r="M178" s="775">
        <v>2</v>
      </c>
      <c r="N178" s="775">
        <v>2</v>
      </c>
      <c r="O178" s="775">
        <v>2</v>
      </c>
      <c r="P178" s="775">
        <v>2</v>
      </c>
      <c r="Q178" s="775">
        <v>2</v>
      </c>
      <c r="R178" s="775">
        <v>2</v>
      </c>
      <c r="T178" s="221">
        <f t="shared" si="435"/>
        <v>2</v>
      </c>
      <c r="U178" s="166"/>
      <c r="V178" s="167"/>
      <c r="W178" s="167"/>
      <c r="X178" s="167"/>
      <c r="Y178" s="168"/>
      <c r="Z178" s="168">
        <f>VLOOKUP(B178,'Manuell filtrering og justering'!$A$7:$H$253,'Manuell filtrering og justering'!$H$1,FALSE)</f>
        <v>0</v>
      </c>
      <c r="AA178" s="169">
        <f t="shared" si="437"/>
        <v>0</v>
      </c>
      <c r="AB178" s="170">
        <f>IF($AC$5='Manuell filtrering og justering'!$J$2,Z178,(T178-AA178))</f>
        <v>2</v>
      </c>
      <c r="AD178" s="171">
        <f t="shared" si="438"/>
        <v>1.5789473684210527E-2</v>
      </c>
      <c r="AE178" s="171">
        <f t="shared" si="450"/>
        <v>0</v>
      </c>
      <c r="AF178" s="171">
        <f t="shared" si="451"/>
        <v>0</v>
      </c>
      <c r="AG178" s="171">
        <f t="shared" si="452"/>
        <v>0</v>
      </c>
      <c r="AI178" s="1067">
        <f>IF(AI243=AD_no,0,IF(VLOOKUP(E178,'Pre-Assessment Estimator'!$E$11:$Z$228,'Pre-Assessment Estimator'!$G$2,FALSE)&gt;AB178,AB178,VLOOKUP(E178,'Pre-Assessment Estimator'!$E$11:$Z$228,'Pre-Assessment Estimator'!$G$2,FALSE)))</f>
        <v>0</v>
      </c>
      <c r="AJ178" s="1067">
        <f>IF(AJ243=AD_no,0,IF(VLOOKUP(E178,'Pre-Assessment Estimator'!$E$11:$Z$228,'Pre-Assessment Estimator'!$N$2,FALSE)&gt;AB178,AB178,VLOOKUP(E178,'Pre-Assessment Estimator'!$E$11:$Z$228,'Pre-Assessment Estimator'!$N$2,FALSE)))</f>
        <v>0</v>
      </c>
      <c r="AK178" s="1067">
        <f>IF(AK243=AD_no,0,IF(VLOOKUP(E178,'Pre-Assessment Estimator'!$E$11:$Z$228,'Pre-Assessment Estimator'!$U$2,FALSE)&gt;AB178,AB178,VLOOKUP(E178,'Pre-Assessment Estimator'!$E$11:$Z$228,'Pre-Assessment Estimator'!$U$2,FALSE)))</f>
        <v>0</v>
      </c>
      <c r="AM178" s="292"/>
      <c r="AN178" s="293"/>
      <c r="AO178" s="293"/>
      <c r="AP178" s="181"/>
      <c r="AQ178" s="186"/>
      <c r="AR178" s="139"/>
      <c r="AS178" s="291"/>
      <c r="AT178" s="181"/>
      <c r="AU178" s="181"/>
      <c r="AV178" s="181"/>
      <c r="AW178" s="186"/>
      <c r="AY178" s="188"/>
      <c r="AZ178" s="189"/>
      <c r="BA178" s="189"/>
      <c r="BB178" s="189"/>
      <c r="BC178" s="190"/>
      <c r="BD178" s="182">
        <f t="shared" si="478"/>
        <v>9</v>
      </c>
      <c r="BE178" s="164" t="str">
        <f t="shared" si="444"/>
        <v>N/A</v>
      </c>
      <c r="BF178" s="185"/>
      <c r="BG178" s="182">
        <f t="shared" si="479"/>
        <v>9</v>
      </c>
      <c r="BH178" s="164" t="str">
        <f t="shared" si="446"/>
        <v>N/A</v>
      </c>
      <c r="BI178" s="185"/>
      <c r="BJ178" s="182">
        <f t="shared" si="480"/>
        <v>9</v>
      </c>
      <c r="BK178" s="164" t="str">
        <f t="shared" si="448"/>
        <v>N/A</v>
      </c>
      <c r="BL178" s="185"/>
      <c r="BO178" s="167"/>
      <c r="BP178" s="167"/>
      <c r="BQ178" s="167" t="str">
        <f t="shared" si="342"/>
        <v/>
      </c>
      <c r="BR178" s="167">
        <f t="shared" si="399"/>
        <v>9</v>
      </c>
      <c r="BS178" s="167">
        <f t="shared" si="400"/>
        <v>9</v>
      </c>
      <c r="BT178" s="167">
        <f t="shared" si="401"/>
        <v>9</v>
      </c>
      <c r="BW178" s="167"/>
      <c r="BX178" s="167"/>
      <c r="BY178" s="167"/>
      <c r="BZ178" s="167"/>
      <c r="CA178" s="167"/>
      <c r="CB178" s="167"/>
    </row>
    <row r="179" spans="1:81" x14ac:dyDescent="0.25">
      <c r="A179" s="96">
        <v>171</v>
      </c>
      <c r="B179" s="137" t="str">
        <f>D179</f>
        <v>LE 04</v>
      </c>
      <c r="C179" s="137" t="str">
        <f>B179</f>
        <v>LE 04</v>
      </c>
      <c r="D179" s="946" t="s">
        <v>181</v>
      </c>
      <c r="E179" s="832" t="s">
        <v>470</v>
      </c>
      <c r="F179" s="933">
        <f>SUM(F180:F182)</f>
        <v>4</v>
      </c>
      <c r="G179" s="933">
        <f t="shared" ref="G179:R179" si="481">SUM(G180:G182)</f>
        <v>4</v>
      </c>
      <c r="H179" s="933">
        <f t="shared" si="481"/>
        <v>4</v>
      </c>
      <c r="I179" s="933">
        <f t="shared" si="481"/>
        <v>4</v>
      </c>
      <c r="J179" s="933">
        <f t="shared" si="481"/>
        <v>4</v>
      </c>
      <c r="K179" s="933">
        <f t="shared" si="481"/>
        <v>4</v>
      </c>
      <c r="L179" s="933">
        <f t="shared" si="481"/>
        <v>4</v>
      </c>
      <c r="M179" s="933">
        <f t="shared" si="481"/>
        <v>4</v>
      </c>
      <c r="N179" s="933">
        <f t="shared" si="481"/>
        <v>4</v>
      </c>
      <c r="O179" s="933">
        <f t="shared" si="481"/>
        <v>4</v>
      </c>
      <c r="P179" s="933">
        <f t="shared" si="481"/>
        <v>4</v>
      </c>
      <c r="Q179" s="933">
        <f t="shared" ref="Q179" si="482">SUM(Q180:Q182)</f>
        <v>4</v>
      </c>
      <c r="R179" s="933">
        <f t="shared" si="481"/>
        <v>4</v>
      </c>
      <c r="T179" s="963">
        <f t="shared" si="435"/>
        <v>4</v>
      </c>
      <c r="U179" s="222"/>
      <c r="V179" s="230"/>
      <c r="W179" s="230"/>
      <c r="X179" s="230">
        <f>'Manuell filtrering og justering'!E78</f>
        <v>0</v>
      </c>
      <c r="Y179" s="230"/>
      <c r="Z179" s="958">
        <f t="shared" ref="Z179" si="483">SUM(Z180:Z182)</f>
        <v>4</v>
      </c>
      <c r="AA179" s="963">
        <f t="shared" si="437"/>
        <v>0</v>
      </c>
      <c r="AB179" s="1066">
        <f>SUM(AB180:AB182)</f>
        <v>4</v>
      </c>
      <c r="AD179" s="171">
        <f t="shared" si="438"/>
        <v>3.1578947368421054E-2</v>
      </c>
      <c r="AE179" s="921">
        <f>SUM(AE180:AE182)</f>
        <v>0</v>
      </c>
      <c r="AF179" s="921">
        <f t="shared" ref="AF179" si="484">SUM(AF180:AF182)</f>
        <v>0</v>
      </c>
      <c r="AG179" s="921">
        <f t="shared" ref="AG179" si="485">SUM(AG180:AG182)</f>
        <v>0</v>
      </c>
      <c r="AI179" s="958">
        <f t="shared" ref="AI179" si="486">SUM(AI180:AI182)</f>
        <v>0</v>
      </c>
      <c r="AJ179" s="958">
        <f t="shared" ref="AJ179" si="487">SUM(AJ180:AJ182)</f>
        <v>0</v>
      </c>
      <c r="AK179" s="958">
        <f t="shared" ref="AK179" si="488">SUM(AK180:AK182)</f>
        <v>0</v>
      </c>
      <c r="AM179" s="292"/>
      <c r="AN179" s="293"/>
      <c r="AO179" s="293"/>
      <c r="AP179" s="181"/>
      <c r="AQ179" s="186"/>
      <c r="AR179" s="139"/>
      <c r="AS179" s="291"/>
      <c r="AT179" s="181"/>
      <c r="AU179" s="181"/>
      <c r="AV179" s="181"/>
      <c r="AW179" s="186"/>
      <c r="AY179" s="188"/>
      <c r="AZ179" s="189"/>
      <c r="BA179" s="189"/>
      <c r="BB179" s="189"/>
      <c r="BC179" s="190"/>
      <c r="BD179" s="182">
        <f t="shared" si="466"/>
        <v>9</v>
      </c>
      <c r="BE179" s="164" t="str">
        <f t="shared" si="444"/>
        <v>N/A</v>
      </c>
      <c r="BF179" s="185"/>
      <c r="BG179" s="182">
        <f t="shared" si="467"/>
        <v>9</v>
      </c>
      <c r="BH179" s="164" t="str">
        <f t="shared" si="446"/>
        <v>N/A</v>
      </c>
      <c r="BI179" s="185"/>
      <c r="BJ179" s="182">
        <f t="shared" si="468"/>
        <v>9</v>
      </c>
      <c r="BK179" s="164" t="str">
        <f t="shared" si="448"/>
        <v>N/A</v>
      </c>
      <c r="BL179" s="185"/>
      <c r="BO179" s="167"/>
      <c r="BP179" s="167"/>
      <c r="BQ179" s="167" t="str">
        <f t="shared" si="342"/>
        <v/>
      </c>
      <c r="BR179" s="167">
        <f t="shared" si="399"/>
        <v>9</v>
      </c>
      <c r="BS179" s="167">
        <f t="shared" si="400"/>
        <v>9</v>
      </c>
      <c r="BT179" s="167">
        <f t="shared" si="401"/>
        <v>9</v>
      </c>
      <c r="BW179" s="167" t="str">
        <f>D179</f>
        <v>LE 04</v>
      </c>
      <c r="BX179" s="167" t="str">
        <f>IFERROR(VLOOKUP($E179,'Pre-Assessment Estimator'!$E$11:$AB$228,'Pre-Assessment Estimator'!AB$2,FALSE),"")</f>
        <v>N/A</v>
      </c>
      <c r="BY179" s="167">
        <f>IFERROR(VLOOKUP($E179,'Pre-Assessment Estimator'!$E$11:$AI$228,'Pre-Assessment Estimator'!AI$2,FALSE),"")</f>
        <v>0</v>
      </c>
      <c r="BZ179" s="167">
        <f>IFERROR(VLOOKUP($BX179,$E$294:$H$327,F$292,FALSE),"")</f>
        <v>1</v>
      </c>
      <c r="CA179" s="167">
        <f>IFERROR(VLOOKUP($BX179,$E$294:$H$327,G$292,FALSE),"")</f>
        <v>0</v>
      </c>
      <c r="CB179" s="167"/>
      <c r="CC179" s="96" t="str">
        <f>IFERROR(VLOOKUP($BX179,$E$294:$H$327,I$292,FALSE),"")</f>
        <v/>
      </c>
    </row>
    <row r="180" spans="1:81" x14ac:dyDescent="0.25">
      <c r="A180" s="96">
        <v>172</v>
      </c>
      <c r="C180" s="96" t="str">
        <f t="shared" si="344"/>
        <v>LE 04</v>
      </c>
      <c r="D180" s="188" t="s">
        <v>692</v>
      </c>
      <c r="E180" s="940" t="s">
        <v>989</v>
      </c>
      <c r="F180" s="775"/>
      <c r="G180" s="775"/>
      <c r="H180" s="775"/>
      <c r="I180" s="775"/>
      <c r="J180" s="775"/>
      <c r="K180" s="775"/>
      <c r="L180" s="775"/>
      <c r="M180" s="775"/>
      <c r="N180" s="775"/>
      <c r="O180" s="775"/>
      <c r="P180" s="775"/>
      <c r="Q180" s="775"/>
      <c r="R180" s="775"/>
      <c r="T180" s="221">
        <f t="shared" si="435"/>
        <v>0</v>
      </c>
      <c r="U180" s="166"/>
      <c r="V180" s="167"/>
      <c r="W180" s="167"/>
      <c r="X180" s="167"/>
      <c r="Y180" s="168"/>
      <c r="Z180" s="168"/>
      <c r="AA180" s="169">
        <f t="shared" si="437"/>
        <v>0</v>
      </c>
      <c r="AB180" s="170">
        <f>IF($AC$5='Manuell filtrering og justering'!$J$2,Z180,(T180-AA180))</f>
        <v>0</v>
      </c>
      <c r="AD180" s="171">
        <f t="shared" si="438"/>
        <v>0</v>
      </c>
      <c r="AE180" s="171">
        <f t="shared" si="450"/>
        <v>0</v>
      </c>
      <c r="AF180" s="171">
        <f t="shared" si="451"/>
        <v>0</v>
      </c>
      <c r="AG180" s="171">
        <f t="shared" si="452"/>
        <v>0</v>
      </c>
      <c r="AI180" s="172">
        <f>IF(VLOOKUP(E180,'Pre-Assessment Estimator'!$E$11:$Z$228,'Pre-Assessment Estimator'!$G$2,FALSE)&gt;AB180,AB180,VLOOKUP(E180,'Pre-Assessment Estimator'!$E$11:$Z$228,'Pre-Assessment Estimator'!$G$2,FALSE))</f>
        <v>0</v>
      </c>
      <c r="AJ180" s="172">
        <f>IF(VLOOKUP(E180,'Pre-Assessment Estimator'!$E$11:$Z$228,'Pre-Assessment Estimator'!$N$2,FALSE)&gt;AB180,AB180,VLOOKUP(E180,'Pre-Assessment Estimator'!$E$11:$Z$228,'Pre-Assessment Estimator'!$N$2,FALSE))</f>
        <v>0</v>
      </c>
      <c r="AK180" s="172">
        <f>IF(VLOOKUP(E180,'Pre-Assessment Estimator'!$E$11:$Z$228,'Pre-Assessment Estimator'!$U$2,FALSE)&gt;AB180,AB180,VLOOKUP(E180,'Pre-Assessment Estimator'!$E$11:$Z$228,'Pre-Assessment Estimator'!$U$2,FALSE))</f>
        <v>0</v>
      </c>
      <c r="AM180" s="292"/>
      <c r="AN180" s="293"/>
      <c r="AO180" s="293"/>
      <c r="AP180" s="181"/>
      <c r="AQ180" s="186"/>
      <c r="AR180" s="139"/>
      <c r="AS180" s="291"/>
      <c r="AT180" s="181"/>
      <c r="AU180" s="181"/>
      <c r="AV180" s="181"/>
      <c r="AW180" s="186"/>
      <c r="AY180" s="188"/>
      <c r="AZ180" s="189"/>
      <c r="BA180" s="189"/>
      <c r="BB180" s="189"/>
      <c r="BC180" s="190"/>
      <c r="BD180" s="182">
        <f t="shared" si="466"/>
        <v>9</v>
      </c>
      <c r="BE180" s="164" t="str">
        <f t="shared" si="444"/>
        <v>N/A</v>
      </c>
      <c r="BF180" s="185"/>
      <c r="BG180" s="182">
        <f t="shared" si="467"/>
        <v>9</v>
      </c>
      <c r="BH180" s="164" t="str">
        <f t="shared" si="446"/>
        <v>N/A</v>
      </c>
      <c r="BI180" s="185"/>
      <c r="BJ180" s="182">
        <f t="shared" si="468"/>
        <v>9</v>
      </c>
      <c r="BK180" s="164" t="str">
        <f t="shared" si="448"/>
        <v>N/A</v>
      </c>
      <c r="BL180" s="185"/>
      <c r="BO180" s="167"/>
      <c r="BP180" s="167"/>
      <c r="BQ180" s="167" t="str">
        <f t="shared" si="342"/>
        <v/>
      </c>
      <c r="BR180" s="167">
        <f t="shared" si="399"/>
        <v>9</v>
      </c>
      <c r="BS180" s="167">
        <f t="shared" si="400"/>
        <v>9</v>
      </c>
      <c r="BT180" s="167">
        <f t="shared" si="401"/>
        <v>9</v>
      </c>
      <c r="BW180" s="167"/>
      <c r="BX180" s="167"/>
      <c r="BY180" s="167"/>
      <c r="BZ180" s="167"/>
      <c r="CA180" s="167"/>
      <c r="CB180" s="167"/>
    </row>
    <row r="181" spans="1:81" x14ac:dyDescent="0.25">
      <c r="A181" s="96">
        <v>173</v>
      </c>
      <c r="B181" s="96" t="str">
        <f t="shared" ref="B181:B182" si="489">$D$179&amp;D181</f>
        <v>LE 04b</v>
      </c>
      <c r="C181" s="96" t="str">
        <f t="shared" si="344"/>
        <v>LE 04</v>
      </c>
      <c r="D181" s="188" t="s">
        <v>695</v>
      </c>
      <c r="E181" s="1107" t="s">
        <v>678</v>
      </c>
      <c r="F181" s="775">
        <v>1</v>
      </c>
      <c r="G181" s="775">
        <v>1</v>
      </c>
      <c r="H181" s="775">
        <v>1</v>
      </c>
      <c r="I181" s="775">
        <v>1</v>
      </c>
      <c r="J181" s="775">
        <v>1</v>
      </c>
      <c r="K181" s="775">
        <v>1</v>
      </c>
      <c r="L181" s="775">
        <v>1</v>
      </c>
      <c r="M181" s="775">
        <v>1</v>
      </c>
      <c r="N181" s="775">
        <v>1</v>
      </c>
      <c r="O181" s="775">
        <v>1</v>
      </c>
      <c r="P181" s="775">
        <v>1</v>
      </c>
      <c r="Q181" s="775">
        <v>1</v>
      </c>
      <c r="R181" s="775">
        <v>1</v>
      </c>
      <c r="T181" s="221">
        <f t="shared" si="435"/>
        <v>1</v>
      </c>
      <c r="U181" s="166"/>
      <c r="V181" s="167"/>
      <c r="W181" s="167"/>
      <c r="X181" s="167"/>
      <c r="Y181" s="168"/>
      <c r="Z181" s="168">
        <f>VLOOKUP(B181,'Manuell filtrering og justering'!$A$7:$H$253,'Manuell filtrering og justering'!$H$1,FALSE)</f>
        <v>1</v>
      </c>
      <c r="AA181" s="169">
        <f t="shared" si="437"/>
        <v>0</v>
      </c>
      <c r="AB181" s="170">
        <f>IF($AC$5='Manuell filtrering og justering'!$J$2,Z181,(T181-AA181))</f>
        <v>1</v>
      </c>
      <c r="AD181" s="171">
        <f t="shared" si="438"/>
        <v>7.8947368421052634E-3</v>
      </c>
      <c r="AE181" s="171">
        <f t="shared" si="450"/>
        <v>0</v>
      </c>
      <c r="AF181" s="171">
        <f t="shared" si="451"/>
        <v>0</v>
      </c>
      <c r="AG181" s="171">
        <f t="shared" si="452"/>
        <v>0</v>
      </c>
      <c r="AI181" s="1067">
        <f>IF(AI244=AD_no,0,IF(VLOOKUP(E181,'Pre-Assessment Estimator'!$E$11:$Z$228,'Pre-Assessment Estimator'!$G$2,FALSE)&gt;AB181,AB181,VLOOKUP(E181,'Pre-Assessment Estimator'!$E$11:$Z$228,'Pre-Assessment Estimator'!$G$2,FALSE)))</f>
        <v>0</v>
      </c>
      <c r="AJ181" s="1067">
        <f>IF(AJ244=AD_no,0,IF(VLOOKUP(E181,'Pre-Assessment Estimator'!$E$11:$Z$228,'Pre-Assessment Estimator'!$N$2,FALSE)&gt;AB181,AB181,VLOOKUP(E181,'Pre-Assessment Estimator'!$E$11:$Z$228,'Pre-Assessment Estimator'!$N$2,FALSE)))</f>
        <v>0</v>
      </c>
      <c r="AK181" s="1067">
        <f>IF(AK244=AD_no,0,IF(VLOOKUP(E181,'Pre-Assessment Estimator'!$E$11:$Z$228,'Pre-Assessment Estimator'!$U$2,FALSE)&gt;AB181,AB181,VLOOKUP(E181,'Pre-Assessment Estimator'!$E$11:$Z$228,'Pre-Assessment Estimator'!$U$2,FALSE)))</f>
        <v>0</v>
      </c>
      <c r="AM181" s="292"/>
      <c r="AN181" s="293"/>
      <c r="AO181" s="293"/>
      <c r="AP181" s="181"/>
      <c r="AQ181" s="186">
        <v>1</v>
      </c>
      <c r="AR181" s="139"/>
      <c r="AS181" s="291"/>
      <c r="AT181" s="181"/>
      <c r="AU181" s="181"/>
      <c r="AV181" s="181"/>
      <c r="AW181" s="186">
        <v>1</v>
      </c>
      <c r="AY181" s="188"/>
      <c r="AZ181" s="189"/>
      <c r="BA181" s="189"/>
      <c r="BB181" s="189"/>
      <c r="BC181" s="183">
        <f>IF($AB181=0,0,IF($E$6=$H$9,AW181,AQ181))</f>
        <v>1</v>
      </c>
      <c r="BD181" s="182">
        <f t="shared" si="466"/>
        <v>4</v>
      </c>
      <c r="BE181" s="164" t="str">
        <f t="shared" si="444"/>
        <v>Excellent</v>
      </c>
      <c r="BF181" s="185"/>
      <c r="BG181" s="182">
        <f t="shared" si="467"/>
        <v>4</v>
      </c>
      <c r="BH181" s="164" t="str">
        <f t="shared" si="446"/>
        <v>Excellent</v>
      </c>
      <c r="BI181" s="185"/>
      <c r="BJ181" s="182">
        <f t="shared" si="468"/>
        <v>4</v>
      </c>
      <c r="BK181" s="164" t="str">
        <f t="shared" si="448"/>
        <v>Excellent</v>
      </c>
      <c r="BL181" s="185"/>
      <c r="BO181" s="167"/>
      <c r="BP181" s="167"/>
      <c r="BQ181" s="167" t="str">
        <f t="shared" si="342"/>
        <v/>
      </c>
      <c r="BR181" s="167">
        <f t="shared" si="399"/>
        <v>9</v>
      </c>
      <c r="BS181" s="167">
        <f t="shared" si="400"/>
        <v>9</v>
      </c>
      <c r="BT181" s="167">
        <f t="shared" si="401"/>
        <v>9</v>
      </c>
      <c r="BW181" s="167"/>
      <c r="BX181" s="167"/>
      <c r="BY181" s="167"/>
      <c r="BZ181" s="167"/>
      <c r="CA181" s="167"/>
      <c r="CB181" s="167"/>
    </row>
    <row r="182" spans="1:81" x14ac:dyDescent="0.25">
      <c r="A182" s="96">
        <v>174</v>
      </c>
      <c r="B182" s="96" t="str">
        <f t="shared" si="489"/>
        <v>LE 04c</v>
      </c>
      <c r="C182" s="96" t="str">
        <f t="shared" si="344"/>
        <v>LE 04</v>
      </c>
      <c r="D182" s="188" t="s">
        <v>696</v>
      </c>
      <c r="E182" s="1107" t="s">
        <v>679</v>
      </c>
      <c r="F182" s="775">
        <v>3</v>
      </c>
      <c r="G182" s="775">
        <v>3</v>
      </c>
      <c r="H182" s="775">
        <v>3</v>
      </c>
      <c r="I182" s="775">
        <v>3</v>
      </c>
      <c r="J182" s="775">
        <v>3</v>
      </c>
      <c r="K182" s="775">
        <v>3</v>
      </c>
      <c r="L182" s="775">
        <v>3</v>
      </c>
      <c r="M182" s="775">
        <v>3</v>
      </c>
      <c r="N182" s="775">
        <v>3</v>
      </c>
      <c r="O182" s="775">
        <v>3</v>
      </c>
      <c r="P182" s="775">
        <v>3</v>
      </c>
      <c r="Q182" s="775">
        <v>3</v>
      </c>
      <c r="R182" s="775">
        <v>3</v>
      </c>
      <c r="T182" s="221">
        <f t="shared" si="435"/>
        <v>3</v>
      </c>
      <c r="U182" s="166"/>
      <c r="V182" s="167"/>
      <c r="W182" s="167"/>
      <c r="X182" s="167"/>
      <c r="Y182" s="168"/>
      <c r="Z182" s="168">
        <f>VLOOKUP(B182,'Manuell filtrering og justering'!$A$7:$H$253,'Manuell filtrering og justering'!$H$1,FALSE)</f>
        <v>3</v>
      </c>
      <c r="AA182" s="169">
        <f t="shared" si="437"/>
        <v>0</v>
      </c>
      <c r="AB182" s="170">
        <f>IF($AC$5='Manuell filtrering og justering'!$J$2,Z182,(T182-AA182))</f>
        <v>3</v>
      </c>
      <c r="AD182" s="171">
        <f t="shared" si="438"/>
        <v>2.368421052631579E-2</v>
      </c>
      <c r="AE182" s="171">
        <f t="shared" si="450"/>
        <v>0</v>
      </c>
      <c r="AF182" s="171">
        <f t="shared" si="451"/>
        <v>0</v>
      </c>
      <c r="AG182" s="171">
        <f t="shared" si="452"/>
        <v>0</v>
      </c>
      <c r="AI182" s="1067">
        <f>IF(AI244=AD_no,0,IF(VLOOKUP(E182,'Pre-Assessment Estimator'!$E$11:$Z$228,'Pre-Assessment Estimator'!$G$2,FALSE)&gt;AB182,AB182,VLOOKUP(E182,'Pre-Assessment Estimator'!$E$11:$Z$228,'Pre-Assessment Estimator'!$G$2,FALSE)))</f>
        <v>0</v>
      </c>
      <c r="AJ182" s="1067">
        <f>IF(AJ244=AD_no,0,IF(VLOOKUP(E182,'Pre-Assessment Estimator'!$E$11:$Z$228,'Pre-Assessment Estimator'!$N$2,FALSE)&gt;AB182,AB182,VLOOKUP(E182,'Pre-Assessment Estimator'!$E$11:$Z$228,'Pre-Assessment Estimator'!$N$2,FALSE)))</f>
        <v>0</v>
      </c>
      <c r="AK182" s="1067">
        <f>IF(AK244=AD_no,0,IF(VLOOKUP(E182,'Pre-Assessment Estimator'!$E$11:$Z$228,'Pre-Assessment Estimator'!$U$2,FALSE)&gt;AB182,AB182,VLOOKUP(E182,'Pre-Assessment Estimator'!$E$11:$Z$228,'Pre-Assessment Estimator'!$U$2,FALSE)))</f>
        <v>0</v>
      </c>
      <c r="AM182" s="292"/>
      <c r="AN182" s="293"/>
      <c r="AO182" s="293"/>
      <c r="AP182" s="181"/>
      <c r="AQ182" s="186"/>
      <c r="AR182" s="139"/>
      <c r="AS182" s="291"/>
      <c r="AT182" s="181"/>
      <c r="AU182" s="181"/>
      <c r="AV182" s="181"/>
      <c r="AW182" s="186"/>
      <c r="AY182" s="188"/>
      <c r="AZ182" s="189"/>
      <c r="BA182" s="189"/>
      <c r="BB182" s="189"/>
      <c r="BC182" s="190"/>
      <c r="BD182" s="182">
        <f t="shared" si="466"/>
        <v>9</v>
      </c>
      <c r="BE182" s="164" t="str">
        <f t="shared" si="444"/>
        <v>N/A</v>
      </c>
      <c r="BF182" s="185"/>
      <c r="BG182" s="182">
        <f t="shared" si="467"/>
        <v>9</v>
      </c>
      <c r="BH182" s="164" t="str">
        <f t="shared" si="446"/>
        <v>N/A</v>
      </c>
      <c r="BI182" s="185"/>
      <c r="BJ182" s="182">
        <f t="shared" si="468"/>
        <v>9</v>
      </c>
      <c r="BK182" s="164" t="str">
        <f t="shared" si="448"/>
        <v>N/A</v>
      </c>
      <c r="BL182" s="185"/>
      <c r="BO182" s="167"/>
      <c r="BP182" s="167"/>
      <c r="BQ182" s="167" t="str">
        <f t="shared" si="342"/>
        <v/>
      </c>
      <c r="BR182" s="167">
        <f t="shared" si="399"/>
        <v>9</v>
      </c>
      <c r="BS182" s="167">
        <f t="shared" si="400"/>
        <v>9</v>
      </c>
      <c r="BT182" s="167">
        <f t="shared" si="401"/>
        <v>9</v>
      </c>
      <c r="BW182" s="167"/>
      <c r="BX182" s="167"/>
      <c r="BY182" s="167"/>
      <c r="BZ182" s="167"/>
      <c r="CA182" s="167"/>
      <c r="CB182" s="167"/>
    </row>
    <row r="183" spans="1:81" x14ac:dyDescent="0.25">
      <c r="A183" s="96">
        <v>175</v>
      </c>
      <c r="B183" s="137" t="str">
        <f>D183</f>
        <v>LE 05</v>
      </c>
      <c r="C183" s="137" t="str">
        <f>B183</f>
        <v>LE 05</v>
      </c>
      <c r="D183" s="946" t="s">
        <v>182</v>
      </c>
      <c r="E183" s="832" t="s">
        <v>471</v>
      </c>
      <c r="F183" s="933">
        <f>SUM(F184:F186)</f>
        <v>2</v>
      </c>
      <c r="G183" s="933">
        <f t="shared" ref="G183:R183" si="490">SUM(G184:G186)</f>
        <v>2</v>
      </c>
      <c r="H183" s="933">
        <f t="shared" si="490"/>
        <v>2</v>
      </c>
      <c r="I183" s="933">
        <f t="shared" si="490"/>
        <v>2</v>
      </c>
      <c r="J183" s="933">
        <f t="shared" si="490"/>
        <v>2</v>
      </c>
      <c r="K183" s="933">
        <f t="shared" si="490"/>
        <v>2</v>
      </c>
      <c r="L183" s="933">
        <f t="shared" si="490"/>
        <v>2</v>
      </c>
      <c r="M183" s="933">
        <f t="shared" si="490"/>
        <v>2</v>
      </c>
      <c r="N183" s="933">
        <f t="shared" si="490"/>
        <v>2</v>
      </c>
      <c r="O183" s="933">
        <f t="shared" si="490"/>
        <v>2</v>
      </c>
      <c r="P183" s="933">
        <f t="shared" si="490"/>
        <v>2</v>
      </c>
      <c r="Q183" s="933">
        <f t="shared" ref="Q183" si="491">SUM(Q184:Q186)</f>
        <v>2</v>
      </c>
      <c r="R183" s="933">
        <f t="shared" si="490"/>
        <v>2</v>
      </c>
      <c r="T183" s="963">
        <f t="shared" si="435"/>
        <v>2</v>
      </c>
      <c r="U183" s="222"/>
      <c r="V183" s="230"/>
      <c r="W183" s="230"/>
      <c r="X183" s="230">
        <f>'Manuell filtrering og justering'!E79</f>
        <v>0</v>
      </c>
      <c r="Y183" s="230"/>
      <c r="Z183" s="958">
        <f t="shared" ref="Z183" si="492">SUM(Z184:Z186)</f>
        <v>2</v>
      </c>
      <c r="AA183" s="963">
        <f t="shared" si="437"/>
        <v>0</v>
      </c>
      <c r="AB183" s="1066">
        <f>SUM(AB184:AB186)</f>
        <v>2</v>
      </c>
      <c r="AD183" s="171">
        <f t="shared" si="438"/>
        <v>1.5789473684210527E-2</v>
      </c>
      <c r="AE183" s="921">
        <f>SUM(AE184:AE186)</f>
        <v>0</v>
      </c>
      <c r="AF183" s="921">
        <f t="shared" ref="AF183" si="493">SUM(AF184:AF186)</f>
        <v>0</v>
      </c>
      <c r="AG183" s="921">
        <f t="shared" ref="AG183" si="494">SUM(AG184:AG186)</f>
        <v>0</v>
      </c>
      <c r="AI183" s="958">
        <f t="shared" ref="AI183" si="495">SUM(AI184:AI186)</f>
        <v>0</v>
      </c>
      <c r="AJ183" s="958">
        <f t="shared" ref="AJ183" si="496">SUM(AJ184:AJ186)</f>
        <v>0</v>
      </c>
      <c r="AK183" s="958">
        <f t="shared" ref="AK183" si="497">SUM(AK184:AK186)</f>
        <v>0</v>
      </c>
      <c r="AM183" s="292"/>
      <c r="AN183" s="293"/>
      <c r="AO183" s="293"/>
      <c r="AP183" s="181"/>
      <c r="AQ183" s="186"/>
      <c r="AR183" s="139"/>
      <c r="AS183" s="291"/>
      <c r="AT183" s="181"/>
      <c r="AU183" s="181"/>
      <c r="AV183" s="181"/>
      <c r="AW183" s="186"/>
      <c r="AY183" s="188"/>
      <c r="AZ183" s="189"/>
      <c r="BA183" s="189"/>
      <c r="BB183" s="189"/>
      <c r="BC183" s="190"/>
      <c r="BD183" s="182">
        <f t="shared" si="466"/>
        <v>9</v>
      </c>
      <c r="BE183" s="164" t="str">
        <f t="shared" si="444"/>
        <v>N/A</v>
      </c>
      <c r="BF183" s="185"/>
      <c r="BG183" s="182">
        <f t="shared" si="467"/>
        <v>9</v>
      </c>
      <c r="BH183" s="164" t="str">
        <f t="shared" si="446"/>
        <v>N/A</v>
      </c>
      <c r="BI183" s="185"/>
      <c r="BJ183" s="182">
        <f t="shared" si="468"/>
        <v>9</v>
      </c>
      <c r="BK183" s="164" t="str">
        <f t="shared" si="448"/>
        <v>N/A</v>
      </c>
      <c r="BL183" s="185"/>
      <c r="BO183" s="167"/>
      <c r="BP183" s="167"/>
      <c r="BQ183" s="167" t="str">
        <f t="shared" si="342"/>
        <v/>
      </c>
      <c r="BR183" s="167">
        <f t="shared" si="399"/>
        <v>9</v>
      </c>
      <c r="BS183" s="167">
        <f t="shared" si="400"/>
        <v>9</v>
      </c>
      <c r="BT183" s="167">
        <f t="shared" si="401"/>
        <v>9</v>
      </c>
      <c r="BW183" s="167" t="str">
        <f>D183</f>
        <v>LE 05</v>
      </c>
      <c r="BX183" s="167" t="str">
        <f>IFERROR(VLOOKUP($E183,'Pre-Assessment Estimator'!$E$11:$AB$228,'Pre-Assessment Estimator'!AB$2,FALSE),"")</f>
        <v>N/A</v>
      </c>
      <c r="BY183" s="167">
        <f>IFERROR(VLOOKUP($E183,'Pre-Assessment Estimator'!$E$11:$AI$228,'Pre-Assessment Estimator'!AI$2,FALSE),"")</f>
        <v>0</v>
      </c>
      <c r="BZ183" s="167">
        <f>IFERROR(VLOOKUP($BX183,$E$294:$H$327,F$292,FALSE),"")</f>
        <v>1</v>
      </c>
      <c r="CA183" s="167">
        <f>IFERROR(VLOOKUP($BX183,$E$294:$H$327,G$292,FALSE),"")</f>
        <v>0</v>
      </c>
      <c r="CB183" s="167"/>
      <c r="CC183" s="96" t="str">
        <f>IFERROR(VLOOKUP($BX183,$E$294:$H$327,I$292,FALSE),"")</f>
        <v/>
      </c>
    </row>
    <row r="184" spans="1:81" x14ac:dyDescent="0.25">
      <c r="A184" s="96">
        <v>176</v>
      </c>
      <c r="C184" s="96" t="str">
        <f t="shared" si="344"/>
        <v>LE 05</v>
      </c>
      <c r="D184" s="188" t="s">
        <v>692</v>
      </c>
      <c r="E184" s="940" t="s">
        <v>680</v>
      </c>
      <c r="F184" s="775"/>
      <c r="G184" s="775"/>
      <c r="H184" s="775"/>
      <c r="I184" s="775"/>
      <c r="J184" s="775"/>
      <c r="K184" s="775"/>
      <c r="L184" s="775"/>
      <c r="M184" s="775"/>
      <c r="N184" s="775"/>
      <c r="O184" s="775"/>
      <c r="P184" s="775"/>
      <c r="Q184" s="775"/>
      <c r="R184" s="775"/>
      <c r="T184" s="221">
        <f t="shared" si="435"/>
        <v>0</v>
      </c>
      <c r="U184" s="166"/>
      <c r="V184" s="167"/>
      <c r="W184" s="167"/>
      <c r="X184" s="167"/>
      <c r="Y184" s="168"/>
      <c r="Z184" s="168"/>
      <c r="AA184" s="169">
        <f t="shared" si="437"/>
        <v>0</v>
      </c>
      <c r="AB184" s="170">
        <f>IF($AC$5='Manuell filtrering og justering'!$J$2,Z184,(T184-AA184))</f>
        <v>0</v>
      </c>
      <c r="AD184" s="171">
        <f t="shared" si="438"/>
        <v>0</v>
      </c>
      <c r="AE184" s="171">
        <f t="shared" si="450"/>
        <v>0</v>
      </c>
      <c r="AF184" s="171">
        <f t="shared" si="451"/>
        <v>0</v>
      </c>
      <c r="AG184" s="171">
        <f t="shared" si="452"/>
        <v>0</v>
      </c>
      <c r="AI184" s="172">
        <f>IF(VLOOKUP(E184,'Pre-Assessment Estimator'!$E$11:$Z$228,'Pre-Assessment Estimator'!$G$2,FALSE)&gt;AB184,AB184,VLOOKUP(E184,'Pre-Assessment Estimator'!$E$11:$Z$228,'Pre-Assessment Estimator'!$G$2,FALSE))</f>
        <v>0</v>
      </c>
      <c r="AJ184" s="172">
        <f>IF(VLOOKUP(E184,'Pre-Assessment Estimator'!$E$11:$Z$228,'Pre-Assessment Estimator'!$N$2,FALSE)&gt;AB184,AB184,VLOOKUP(E184,'Pre-Assessment Estimator'!$E$11:$Z$228,'Pre-Assessment Estimator'!$N$2,FALSE))</f>
        <v>0</v>
      </c>
      <c r="AK184" s="172">
        <f>IF(VLOOKUP(E184,'Pre-Assessment Estimator'!$E$11:$Z$228,'Pre-Assessment Estimator'!$U$2,FALSE)&gt;AB184,AB184,VLOOKUP(E184,'Pre-Assessment Estimator'!$E$11:$Z$228,'Pre-Assessment Estimator'!$U$2,FALSE))</f>
        <v>0</v>
      </c>
      <c r="AM184" s="292"/>
      <c r="AN184" s="293"/>
      <c r="AO184" s="293"/>
      <c r="AP184" s="181"/>
      <c r="AQ184" s="186"/>
      <c r="AR184" s="139"/>
      <c r="AS184" s="291"/>
      <c r="AT184" s="181"/>
      <c r="AU184" s="181"/>
      <c r="AV184" s="181"/>
      <c r="AW184" s="186"/>
      <c r="AY184" s="188"/>
      <c r="AZ184" s="189"/>
      <c r="BA184" s="189"/>
      <c r="BB184" s="190"/>
      <c r="BC184" s="190"/>
      <c r="BD184" s="182">
        <f t="shared" si="466"/>
        <v>9</v>
      </c>
      <c r="BE184" s="164" t="str">
        <f t="shared" si="444"/>
        <v>N/A</v>
      </c>
      <c r="BF184" s="185"/>
      <c r="BG184" s="182">
        <f t="shared" si="467"/>
        <v>9</v>
      </c>
      <c r="BH184" s="164" t="str">
        <f t="shared" si="446"/>
        <v>N/A</v>
      </c>
      <c r="BI184" s="185"/>
      <c r="BJ184" s="182">
        <f t="shared" si="468"/>
        <v>9</v>
      </c>
      <c r="BK184" s="164" t="str">
        <f t="shared" si="448"/>
        <v>N/A</v>
      </c>
      <c r="BL184" s="185"/>
      <c r="BO184" s="167"/>
      <c r="BP184" s="167"/>
      <c r="BQ184" s="167" t="str">
        <f t="shared" si="342"/>
        <v/>
      </c>
      <c r="BR184" s="167">
        <f t="shared" si="399"/>
        <v>9</v>
      </c>
      <c r="BS184" s="167">
        <f t="shared" si="400"/>
        <v>9</v>
      </c>
      <c r="BT184" s="167">
        <f t="shared" si="401"/>
        <v>9</v>
      </c>
      <c r="BW184" s="167"/>
      <c r="BX184" s="167"/>
      <c r="BY184" s="167"/>
      <c r="BZ184" s="167"/>
      <c r="CA184" s="167"/>
      <c r="CB184" s="167"/>
    </row>
    <row r="185" spans="1:81" x14ac:dyDescent="0.25">
      <c r="A185" s="96">
        <v>177</v>
      </c>
      <c r="B185" s="96" t="str">
        <f t="shared" ref="B185:B186" si="498">$D$183&amp;D185</f>
        <v>LE 05b</v>
      </c>
      <c r="C185" s="96" t="str">
        <f t="shared" si="344"/>
        <v>LE 05</v>
      </c>
      <c r="D185" s="188" t="s">
        <v>695</v>
      </c>
      <c r="E185" s="1107" t="s">
        <v>681</v>
      </c>
      <c r="F185" s="775">
        <v>1</v>
      </c>
      <c r="G185" s="775">
        <v>1</v>
      </c>
      <c r="H185" s="775">
        <v>1</v>
      </c>
      <c r="I185" s="775">
        <v>1</v>
      </c>
      <c r="J185" s="775">
        <v>1</v>
      </c>
      <c r="K185" s="775">
        <v>1</v>
      </c>
      <c r="L185" s="775">
        <v>1</v>
      </c>
      <c r="M185" s="775">
        <v>1</v>
      </c>
      <c r="N185" s="775">
        <v>1</v>
      </c>
      <c r="O185" s="775">
        <v>1</v>
      </c>
      <c r="P185" s="775">
        <v>1</v>
      </c>
      <c r="Q185" s="775">
        <v>1</v>
      </c>
      <c r="R185" s="775">
        <v>1</v>
      </c>
      <c r="T185" s="221">
        <f t="shared" si="435"/>
        <v>1</v>
      </c>
      <c r="U185" s="166"/>
      <c r="V185" s="167"/>
      <c r="W185" s="167"/>
      <c r="X185" s="167"/>
      <c r="Y185" s="168"/>
      <c r="Z185" s="168">
        <f>VLOOKUP(B185,'Manuell filtrering og justering'!$A$7:$H$253,'Manuell filtrering og justering'!$H$1,FALSE)</f>
        <v>1</v>
      </c>
      <c r="AA185" s="169">
        <f t="shared" si="437"/>
        <v>0</v>
      </c>
      <c r="AB185" s="170">
        <f>IF($AC$5='Manuell filtrering og justering'!$J$2,Z185,(T185-AA185))</f>
        <v>1</v>
      </c>
      <c r="AD185" s="171">
        <f t="shared" si="438"/>
        <v>7.8947368421052634E-3</v>
      </c>
      <c r="AE185" s="171">
        <f t="shared" si="450"/>
        <v>0</v>
      </c>
      <c r="AF185" s="171">
        <f t="shared" si="451"/>
        <v>0</v>
      </c>
      <c r="AG185" s="171">
        <f t="shared" si="452"/>
        <v>0</v>
      </c>
      <c r="AI185" s="1067">
        <f>IF(AI245=AD_no,0,IF(VLOOKUP(E185,'Pre-Assessment Estimator'!$E$11:$Z$228,'Pre-Assessment Estimator'!$G$2,FALSE)&gt;AB185,AB185,VLOOKUP(E185,'Pre-Assessment Estimator'!$E$11:$Z$228,'Pre-Assessment Estimator'!$G$2,FALSE)))</f>
        <v>0</v>
      </c>
      <c r="AJ185" s="1067">
        <f>IF(AJ245=AD_no,0,IF(VLOOKUP(E185,'Pre-Assessment Estimator'!$E$11:$Z$228,'Pre-Assessment Estimator'!$N$2,FALSE)&gt;AB185,AB185,VLOOKUP(E185,'Pre-Assessment Estimator'!$E$11:$Z$228,'Pre-Assessment Estimator'!$N$2,FALSE)))</f>
        <v>0</v>
      </c>
      <c r="AK185" s="1067">
        <f>IF(AK245=AD_no,0,IF(VLOOKUP(E185,'Pre-Assessment Estimator'!$E$11:$Z$228,'Pre-Assessment Estimator'!$U$2,FALSE)&gt;AB185,AB185,VLOOKUP(E185,'Pre-Assessment Estimator'!$E$11:$Z$228,'Pre-Assessment Estimator'!$U$2,FALSE)))</f>
        <v>0</v>
      </c>
      <c r="AM185" s="292"/>
      <c r="AN185" s="293"/>
      <c r="AO185" s="293"/>
      <c r="AP185" s="181"/>
      <c r="AQ185" s="186"/>
      <c r="AR185" s="139"/>
      <c r="AS185" s="291"/>
      <c r="AT185" s="181"/>
      <c r="AU185" s="181"/>
      <c r="AV185" s="181"/>
      <c r="AW185" s="186"/>
      <c r="AY185" s="188"/>
      <c r="AZ185" s="189"/>
      <c r="BA185" s="189"/>
      <c r="BB185" s="190"/>
      <c r="BC185" s="190"/>
      <c r="BD185" s="182">
        <f t="shared" si="466"/>
        <v>9</v>
      </c>
      <c r="BE185" s="164" t="str">
        <f t="shared" si="444"/>
        <v>N/A</v>
      </c>
      <c r="BF185" s="185"/>
      <c r="BG185" s="182">
        <f t="shared" si="467"/>
        <v>9</v>
      </c>
      <c r="BH185" s="164" t="str">
        <f t="shared" si="446"/>
        <v>N/A</v>
      </c>
      <c r="BI185" s="185"/>
      <c r="BJ185" s="182">
        <f t="shared" si="468"/>
        <v>9</v>
      </c>
      <c r="BK185" s="164" t="str">
        <f t="shared" si="448"/>
        <v>N/A</v>
      </c>
      <c r="BL185" s="185"/>
      <c r="BO185" s="167"/>
      <c r="BP185" s="167"/>
      <c r="BQ185" s="167" t="str">
        <f t="shared" si="342"/>
        <v/>
      </c>
      <c r="BR185" s="167">
        <f t="shared" si="399"/>
        <v>9</v>
      </c>
      <c r="BS185" s="167">
        <f t="shared" si="400"/>
        <v>9</v>
      </c>
      <c r="BT185" s="167">
        <f t="shared" si="401"/>
        <v>9</v>
      </c>
      <c r="BW185" s="167"/>
      <c r="BX185" s="167"/>
      <c r="BY185" s="167"/>
      <c r="BZ185" s="167"/>
      <c r="CA185" s="167"/>
      <c r="CB185" s="167"/>
    </row>
    <row r="186" spans="1:81" x14ac:dyDescent="0.25">
      <c r="A186" s="96">
        <v>178</v>
      </c>
      <c r="B186" s="96" t="str">
        <f t="shared" si="498"/>
        <v>LE 05c</v>
      </c>
      <c r="C186" s="96" t="str">
        <f t="shared" si="344"/>
        <v>LE 05</v>
      </c>
      <c r="D186" s="188" t="s">
        <v>696</v>
      </c>
      <c r="E186" s="1107" t="s">
        <v>682</v>
      </c>
      <c r="F186" s="775">
        <v>1</v>
      </c>
      <c r="G186" s="775">
        <v>1</v>
      </c>
      <c r="H186" s="775">
        <v>1</v>
      </c>
      <c r="I186" s="775">
        <v>1</v>
      </c>
      <c r="J186" s="775">
        <v>1</v>
      </c>
      <c r="K186" s="775">
        <v>1</v>
      </c>
      <c r="L186" s="775">
        <v>1</v>
      </c>
      <c r="M186" s="775">
        <v>1</v>
      </c>
      <c r="N186" s="775">
        <v>1</v>
      </c>
      <c r="O186" s="775">
        <v>1</v>
      </c>
      <c r="P186" s="775">
        <v>1</v>
      </c>
      <c r="Q186" s="775">
        <v>1</v>
      </c>
      <c r="R186" s="775">
        <v>1</v>
      </c>
      <c r="T186" s="221">
        <f t="shared" si="435"/>
        <v>1</v>
      </c>
      <c r="U186" s="166"/>
      <c r="V186" s="167"/>
      <c r="W186" s="167"/>
      <c r="X186" s="167"/>
      <c r="Y186" s="168"/>
      <c r="Z186" s="168">
        <f>VLOOKUP(B186,'Manuell filtrering og justering'!$A$7:$H$253,'Manuell filtrering og justering'!$H$1,FALSE)</f>
        <v>1</v>
      </c>
      <c r="AA186" s="169">
        <f t="shared" si="437"/>
        <v>0</v>
      </c>
      <c r="AB186" s="170">
        <f>IF($AC$5='Manuell filtrering og justering'!$J$2,Z186,(T186-AA186))</f>
        <v>1</v>
      </c>
      <c r="AD186" s="171">
        <f t="shared" si="438"/>
        <v>7.8947368421052634E-3</v>
      </c>
      <c r="AE186" s="171">
        <f t="shared" si="450"/>
        <v>0</v>
      </c>
      <c r="AF186" s="171">
        <f t="shared" si="451"/>
        <v>0</v>
      </c>
      <c r="AG186" s="171">
        <f t="shared" si="452"/>
        <v>0</v>
      </c>
      <c r="AI186" s="1067">
        <f>IF(AI245=AD_no,0,IF(VLOOKUP(E186,'Pre-Assessment Estimator'!$E$11:$Z$228,'Pre-Assessment Estimator'!$G$2,FALSE)&gt;AB186,AB186,VLOOKUP(E186,'Pre-Assessment Estimator'!$E$11:$Z$228,'Pre-Assessment Estimator'!$G$2,FALSE)))</f>
        <v>0</v>
      </c>
      <c r="AJ186" s="1067">
        <f>IF(AJ245=AD_no,0,IF(VLOOKUP(E186,'Pre-Assessment Estimator'!$E$11:$Z$228,'Pre-Assessment Estimator'!$N$2,FALSE)&gt;AB186,AB186,VLOOKUP(E186,'Pre-Assessment Estimator'!$E$11:$Z$228,'Pre-Assessment Estimator'!$N$2,FALSE)))</f>
        <v>0</v>
      </c>
      <c r="AK186" s="1067">
        <f>IF(AK245=AD_no,0,IF(VLOOKUP(E186,'Pre-Assessment Estimator'!$E$11:$Z$228,'Pre-Assessment Estimator'!$U$2,FALSE)&gt;AB186,AB186,VLOOKUP(E186,'Pre-Assessment Estimator'!$E$11:$Z$228,'Pre-Assessment Estimator'!$U$2,FALSE)))</f>
        <v>0</v>
      </c>
      <c r="AM186" s="292"/>
      <c r="AN186" s="293"/>
      <c r="AO186" s="293"/>
      <c r="AP186" s="181"/>
      <c r="AQ186" s="186"/>
      <c r="AR186" s="139"/>
      <c r="AS186" s="291"/>
      <c r="AT186" s="181"/>
      <c r="AU186" s="181"/>
      <c r="AV186" s="181"/>
      <c r="AW186" s="186"/>
      <c r="AY186" s="188"/>
      <c r="AZ186" s="189"/>
      <c r="BA186" s="189"/>
      <c r="BB186" s="190"/>
      <c r="BC186" s="190"/>
      <c r="BD186" s="182">
        <f t="shared" si="466"/>
        <v>9</v>
      </c>
      <c r="BE186" s="164" t="str">
        <f t="shared" si="444"/>
        <v>N/A</v>
      </c>
      <c r="BF186" s="185"/>
      <c r="BG186" s="182">
        <f t="shared" si="467"/>
        <v>9</v>
      </c>
      <c r="BH186" s="164" t="str">
        <f t="shared" si="446"/>
        <v>N/A</v>
      </c>
      <c r="BI186" s="185"/>
      <c r="BJ186" s="182">
        <f t="shared" si="468"/>
        <v>9</v>
      </c>
      <c r="BK186" s="164" t="str">
        <f t="shared" si="448"/>
        <v>N/A</v>
      </c>
      <c r="BL186" s="185"/>
      <c r="BO186" s="167"/>
      <c r="BP186" s="167"/>
      <c r="BQ186" s="167" t="str">
        <f t="shared" si="342"/>
        <v/>
      </c>
      <c r="BR186" s="167">
        <f t="shared" si="399"/>
        <v>9</v>
      </c>
      <c r="BS186" s="167">
        <f t="shared" si="400"/>
        <v>9</v>
      </c>
      <c r="BT186" s="167">
        <f t="shared" si="401"/>
        <v>9</v>
      </c>
      <c r="BW186" s="167"/>
      <c r="BX186" s="167"/>
      <c r="BY186" s="167"/>
      <c r="BZ186" s="167"/>
      <c r="CA186" s="167"/>
      <c r="CB186" s="167"/>
    </row>
    <row r="187" spans="1:81" x14ac:dyDescent="0.25">
      <c r="A187" s="96">
        <v>179</v>
      </c>
      <c r="B187" s="137" t="str">
        <f>D187</f>
        <v>LE 06</v>
      </c>
      <c r="C187" s="137" t="str">
        <f>B187</f>
        <v>LE 06</v>
      </c>
      <c r="D187" s="946" t="s">
        <v>183</v>
      </c>
      <c r="E187" s="832" t="s">
        <v>689</v>
      </c>
      <c r="F187" s="933">
        <f>F188</f>
        <v>1</v>
      </c>
      <c r="G187" s="933">
        <f t="shared" ref="G187:R187" si="499">G188</f>
        <v>1</v>
      </c>
      <c r="H187" s="933">
        <f t="shared" si="499"/>
        <v>1</v>
      </c>
      <c r="I187" s="933">
        <f t="shared" si="499"/>
        <v>1</v>
      </c>
      <c r="J187" s="933">
        <f t="shared" si="499"/>
        <v>1</v>
      </c>
      <c r="K187" s="933">
        <f t="shared" si="499"/>
        <v>1</v>
      </c>
      <c r="L187" s="933">
        <f>L188</f>
        <v>1</v>
      </c>
      <c r="M187" s="933">
        <f t="shared" si="499"/>
        <v>1</v>
      </c>
      <c r="N187" s="933">
        <f t="shared" si="499"/>
        <v>1</v>
      </c>
      <c r="O187" s="933">
        <f t="shared" si="499"/>
        <v>1</v>
      </c>
      <c r="P187" s="933">
        <f t="shared" si="499"/>
        <v>1</v>
      </c>
      <c r="Q187" s="933">
        <f t="shared" si="499"/>
        <v>1</v>
      </c>
      <c r="R187" s="933">
        <f t="shared" si="499"/>
        <v>1</v>
      </c>
      <c r="T187" s="963">
        <f t="shared" si="435"/>
        <v>1</v>
      </c>
      <c r="U187" s="222"/>
      <c r="V187" s="230"/>
      <c r="W187" s="230"/>
      <c r="X187" s="230">
        <f>'Manuell filtrering og justering'!E80</f>
        <v>0</v>
      </c>
      <c r="Y187" s="230"/>
      <c r="Z187" s="958">
        <f t="shared" ref="Z187" si="500">Z188</f>
        <v>1</v>
      </c>
      <c r="AA187" s="963">
        <f t="shared" si="437"/>
        <v>0</v>
      </c>
      <c r="AB187" s="1066">
        <f>SUM(AB188)</f>
        <v>1</v>
      </c>
      <c r="AD187" s="171">
        <f t="shared" si="438"/>
        <v>7.8947368421052634E-3</v>
      </c>
      <c r="AE187" s="921">
        <f>SUM(AE188)</f>
        <v>0</v>
      </c>
      <c r="AF187" s="921">
        <f t="shared" ref="AF187" si="501">SUM(AF188)</f>
        <v>0</v>
      </c>
      <c r="AG187" s="921">
        <f t="shared" ref="AG187" si="502">SUM(AG188)</f>
        <v>0</v>
      </c>
      <c r="AI187" s="958">
        <f t="shared" ref="AI187" si="503">AI188</f>
        <v>0</v>
      </c>
      <c r="AJ187" s="958">
        <f t="shared" ref="AJ187" si="504">AJ188</f>
        <v>0</v>
      </c>
      <c r="AK187" s="958">
        <f t="shared" ref="AK187" si="505">AK188</f>
        <v>0</v>
      </c>
      <c r="AM187" s="292"/>
      <c r="AN187" s="293"/>
      <c r="AO187" s="293"/>
      <c r="AP187" s="181"/>
      <c r="AQ187" s="186"/>
      <c r="AR187" s="139"/>
      <c r="AS187" s="291"/>
      <c r="AT187" s="181"/>
      <c r="AU187" s="181"/>
      <c r="AV187" s="181"/>
      <c r="AW187" s="186"/>
      <c r="AY187" s="188"/>
      <c r="AZ187" s="189"/>
      <c r="BA187" s="189"/>
      <c r="BB187" s="190"/>
      <c r="BC187" s="190"/>
      <c r="BD187" s="182">
        <f t="shared" si="466"/>
        <v>9</v>
      </c>
      <c r="BE187" s="164" t="str">
        <f t="shared" si="444"/>
        <v>N/A</v>
      </c>
      <c r="BF187" s="185"/>
      <c r="BG187" s="182">
        <f t="shared" si="467"/>
        <v>9</v>
      </c>
      <c r="BH187" s="164" t="str">
        <f t="shared" si="446"/>
        <v>N/A</v>
      </c>
      <c r="BI187" s="185"/>
      <c r="BJ187" s="182">
        <f t="shared" si="468"/>
        <v>9</v>
      </c>
      <c r="BK187" s="164" t="str">
        <f t="shared" si="448"/>
        <v>N/A</v>
      </c>
      <c r="BL187" s="185"/>
      <c r="BO187" s="167"/>
      <c r="BP187" s="167"/>
      <c r="BQ187" s="167" t="str">
        <f t="shared" si="342"/>
        <v/>
      </c>
      <c r="BR187" s="167">
        <f t="shared" si="399"/>
        <v>9</v>
      </c>
      <c r="BS187" s="167">
        <f t="shared" si="400"/>
        <v>9</v>
      </c>
      <c r="BT187" s="167">
        <f t="shared" si="401"/>
        <v>9</v>
      </c>
      <c r="BW187" s="167" t="str">
        <f>D187</f>
        <v>LE 06</v>
      </c>
      <c r="BX187" s="167" t="str">
        <f>IFERROR(VLOOKUP($E187,'Pre-Assessment Estimator'!$E$11:$AB$228,'Pre-Assessment Estimator'!AB$2,FALSE),"")</f>
        <v>N/A</v>
      </c>
      <c r="BY187" s="167">
        <f>IFERROR(VLOOKUP($E187,'Pre-Assessment Estimator'!$E$11:$AI$228,'Pre-Assessment Estimator'!AI$2,FALSE),"")</f>
        <v>0</v>
      </c>
      <c r="BZ187" s="167">
        <f>IFERROR(VLOOKUP($BX187,$E$294:$H$327,F$292,FALSE),"")</f>
        <v>1</v>
      </c>
      <c r="CA187" s="167">
        <f>IFERROR(VLOOKUP($BX187,$E$294:$H$327,G$292,FALSE),"")</f>
        <v>0</v>
      </c>
      <c r="CB187" s="167"/>
      <c r="CC187" s="96" t="str">
        <f>IFERROR(VLOOKUP($BX187,$E$294:$H$327,I$292,FALSE),"")</f>
        <v/>
      </c>
    </row>
    <row r="188" spans="1:81" x14ac:dyDescent="0.25">
      <c r="A188" s="96">
        <v>180</v>
      </c>
      <c r="B188" s="96" t="str">
        <f t="shared" ref="B188" si="506">$D$187&amp;D188</f>
        <v>LE 06a</v>
      </c>
      <c r="C188" s="96" t="str">
        <f t="shared" si="344"/>
        <v>LE 06</v>
      </c>
      <c r="D188" s="188" t="s">
        <v>692</v>
      </c>
      <c r="E188" s="1248" t="s">
        <v>1059</v>
      </c>
      <c r="F188" s="775">
        <v>1</v>
      </c>
      <c r="G188" s="775">
        <v>1</v>
      </c>
      <c r="H188" s="775">
        <v>1</v>
      </c>
      <c r="I188" s="775">
        <v>1</v>
      </c>
      <c r="J188" s="775">
        <v>1</v>
      </c>
      <c r="K188" s="775">
        <v>1</v>
      </c>
      <c r="L188" s="775">
        <v>1</v>
      </c>
      <c r="M188" s="775">
        <v>1</v>
      </c>
      <c r="N188" s="775">
        <v>1</v>
      </c>
      <c r="O188" s="775">
        <v>1</v>
      </c>
      <c r="P188" s="775">
        <v>1</v>
      </c>
      <c r="Q188" s="775">
        <v>1</v>
      </c>
      <c r="R188" s="775">
        <v>1</v>
      </c>
      <c r="T188" s="221">
        <f t="shared" si="435"/>
        <v>1</v>
      </c>
      <c r="U188" s="192"/>
      <c r="V188" s="193"/>
      <c r="W188" s="193"/>
      <c r="X188" s="167"/>
      <c r="Y188" s="168"/>
      <c r="Z188" s="168">
        <f>VLOOKUP(B188,'Manuell filtrering og justering'!$A$7:$H$253,'Manuell filtrering og justering'!$H$1,FALSE)</f>
        <v>1</v>
      </c>
      <c r="AA188" s="169">
        <f t="shared" si="437"/>
        <v>0</v>
      </c>
      <c r="AB188" s="170">
        <f>IF($AC$5='Manuell filtrering og justering'!$J$2,Z188,(T188-AA188))</f>
        <v>1</v>
      </c>
      <c r="AD188" s="171">
        <f t="shared" si="438"/>
        <v>7.8947368421052634E-3</v>
      </c>
      <c r="AE188" s="171">
        <f t="shared" si="450"/>
        <v>0</v>
      </c>
      <c r="AF188" s="171">
        <f t="shared" si="451"/>
        <v>0</v>
      </c>
      <c r="AG188" s="171">
        <f t="shared" si="452"/>
        <v>0</v>
      </c>
      <c r="AI188" s="172">
        <f>IF(VLOOKUP(E188,'Pre-Assessment Estimator'!$E$11:$Z$228,'Pre-Assessment Estimator'!$G$2,FALSE)&gt;AB188,AB188,VLOOKUP(E188,'Pre-Assessment Estimator'!$E$11:$Z$228,'Pre-Assessment Estimator'!$G$2,FALSE))</f>
        <v>0</v>
      </c>
      <c r="AJ188" s="172">
        <f>IF(VLOOKUP(E188,'Pre-Assessment Estimator'!$E$11:$Z$228,'Pre-Assessment Estimator'!$N$2,FALSE)&gt;AB188,AB188,VLOOKUP(E188,'Pre-Assessment Estimator'!$E$11:$Z$228,'Pre-Assessment Estimator'!$N$2,FALSE))</f>
        <v>0</v>
      </c>
      <c r="AK188" s="172">
        <f>IF(VLOOKUP(E188,'Pre-Assessment Estimator'!$E$11:$Z$228,'Pre-Assessment Estimator'!$U$2,FALSE)&gt;AB188,AB188,VLOOKUP(E188,'Pre-Assessment Estimator'!$E$11:$Z$228,'Pre-Assessment Estimator'!$U$2,FALSE))</f>
        <v>0</v>
      </c>
      <c r="AM188" s="292"/>
      <c r="AN188" s="293"/>
      <c r="AO188" s="293"/>
      <c r="AP188" s="181">
        <v>1</v>
      </c>
      <c r="AQ188" s="186">
        <v>1</v>
      </c>
      <c r="AR188" s="139"/>
      <c r="AS188" s="291"/>
      <c r="AT188" s="181"/>
      <c r="AU188" s="181"/>
      <c r="AV188" s="181">
        <v>1</v>
      </c>
      <c r="AW188" s="186">
        <v>1</v>
      </c>
      <c r="AY188" s="188"/>
      <c r="AZ188" s="189"/>
      <c r="BA188" s="189"/>
      <c r="BB188" s="183">
        <f>IF($AB188=0,0,IF($E$6=$H$9,AV188,AP188))</f>
        <v>1</v>
      </c>
      <c r="BC188" s="183">
        <f>IF($AB188=0,0,IF($E$6=$H$9,AW188,AQ188))</f>
        <v>1</v>
      </c>
      <c r="BD188" s="182">
        <f t="shared" si="466"/>
        <v>3</v>
      </c>
      <c r="BE188" s="164" t="str">
        <f t="shared" si="444"/>
        <v>Very Good</v>
      </c>
      <c r="BF188" s="185"/>
      <c r="BG188" s="182">
        <f t="shared" si="467"/>
        <v>3</v>
      </c>
      <c r="BH188" s="164" t="str">
        <f t="shared" si="446"/>
        <v>Very Good</v>
      </c>
      <c r="BI188" s="185"/>
      <c r="BJ188" s="182">
        <f t="shared" si="468"/>
        <v>3</v>
      </c>
      <c r="BK188" s="164" t="str">
        <f t="shared" si="448"/>
        <v>Very Good</v>
      </c>
      <c r="BL188" s="185"/>
      <c r="BO188" s="167"/>
      <c r="BP188" s="167">
        <v>1</v>
      </c>
      <c r="BQ188" s="167">
        <f t="shared" si="342"/>
        <v>1</v>
      </c>
      <c r="BR188" s="167">
        <f t="shared" si="399"/>
        <v>0</v>
      </c>
      <c r="BS188" s="167">
        <f t="shared" si="400"/>
        <v>0</v>
      </c>
      <c r="BT188" s="167">
        <f t="shared" si="401"/>
        <v>0</v>
      </c>
      <c r="BW188" s="314"/>
      <c r="BX188" s="314"/>
      <c r="BY188" s="314"/>
      <c r="BZ188" s="314"/>
      <c r="CA188" s="314"/>
      <c r="CB188" s="314"/>
    </row>
    <row r="189" spans="1:81" x14ac:dyDescent="0.25">
      <c r="A189" s="96">
        <v>181</v>
      </c>
      <c r="B189" s="137" t="str">
        <f>D189</f>
        <v>LE 07</v>
      </c>
      <c r="C189" s="137" t="str">
        <f>B189</f>
        <v>LE 07</v>
      </c>
      <c r="D189" s="946" t="s">
        <v>480</v>
      </c>
      <c r="E189" s="832" t="s">
        <v>690</v>
      </c>
      <c r="F189" s="933">
        <f>SUM(F190:F191)</f>
        <v>2</v>
      </c>
      <c r="G189" s="933">
        <f t="shared" ref="G189:R189" si="507">SUM(G190:G191)</f>
        <v>2</v>
      </c>
      <c r="H189" s="933">
        <f t="shared" si="507"/>
        <v>2</v>
      </c>
      <c r="I189" s="933">
        <f t="shared" si="507"/>
        <v>2</v>
      </c>
      <c r="J189" s="933">
        <f t="shared" si="507"/>
        <v>2</v>
      </c>
      <c r="K189" s="933">
        <f t="shared" si="507"/>
        <v>2</v>
      </c>
      <c r="L189" s="933">
        <f t="shared" si="507"/>
        <v>2</v>
      </c>
      <c r="M189" s="933">
        <f t="shared" si="507"/>
        <v>2</v>
      </c>
      <c r="N189" s="933">
        <f t="shared" si="507"/>
        <v>2</v>
      </c>
      <c r="O189" s="933">
        <f t="shared" si="507"/>
        <v>2</v>
      </c>
      <c r="P189" s="933">
        <f t="shared" si="507"/>
        <v>2</v>
      </c>
      <c r="Q189" s="933">
        <f t="shared" ref="Q189" si="508">SUM(Q190:Q191)</f>
        <v>2</v>
      </c>
      <c r="R189" s="933">
        <f t="shared" si="507"/>
        <v>2</v>
      </c>
      <c r="T189" s="963">
        <f t="shared" si="435"/>
        <v>2</v>
      </c>
      <c r="U189" s="728"/>
      <c r="V189" s="964"/>
      <c r="W189" s="964"/>
      <c r="X189" s="230">
        <f>'Manuell filtrering og justering'!E81</f>
        <v>0</v>
      </c>
      <c r="Y189" s="230"/>
      <c r="Z189" s="958">
        <f t="shared" ref="Z189" si="509">SUM(Z190:Z191)</f>
        <v>2</v>
      </c>
      <c r="AA189" s="963">
        <f t="shared" si="437"/>
        <v>0</v>
      </c>
      <c r="AB189" s="1066">
        <f t="shared" ref="AB189" si="510">SUM(AB190:AB191)</f>
        <v>2</v>
      </c>
      <c r="AD189" s="171">
        <f t="shared" si="438"/>
        <v>1.5789473684210527E-2</v>
      </c>
      <c r="AE189" s="921">
        <f>SUM(AE190:AE191)</f>
        <v>0</v>
      </c>
      <c r="AF189" s="921">
        <f t="shared" ref="AF189:AG189" si="511">SUM(AF190:AF191)</f>
        <v>0</v>
      </c>
      <c r="AG189" s="921">
        <f t="shared" si="511"/>
        <v>0</v>
      </c>
      <c r="AI189" s="958">
        <f t="shared" ref="AI189" si="512">SUM(AI190:AI191)</f>
        <v>0</v>
      </c>
      <c r="AJ189" s="958">
        <f t="shared" ref="AJ189" si="513">SUM(AJ190:AJ191)</f>
        <v>0</v>
      </c>
      <c r="AK189" s="958">
        <f t="shared" ref="AK189" si="514">SUM(AK190:AK191)</f>
        <v>0</v>
      </c>
      <c r="AM189" s="292"/>
      <c r="AN189" s="293"/>
      <c r="AO189" s="293"/>
      <c r="AP189" s="293"/>
      <c r="AQ189" s="294"/>
      <c r="AR189" s="139"/>
      <c r="AS189" s="292"/>
      <c r="AT189" s="293"/>
      <c r="AU189" s="293"/>
      <c r="AV189" s="293"/>
      <c r="AW189" s="294"/>
      <c r="AY189" s="188"/>
      <c r="AZ189" s="189"/>
      <c r="BA189" s="189"/>
      <c r="BB189" s="189"/>
      <c r="BC189" s="190"/>
      <c r="BD189" s="182">
        <f t="shared" si="466"/>
        <v>9</v>
      </c>
      <c r="BE189" s="164" t="str">
        <f t="shared" si="444"/>
        <v>N/A</v>
      </c>
      <c r="BF189" s="185"/>
      <c r="BG189" s="182">
        <f t="shared" si="467"/>
        <v>9</v>
      </c>
      <c r="BH189" s="164" t="str">
        <f t="shared" si="446"/>
        <v>N/A</v>
      </c>
      <c r="BI189" s="185"/>
      <c r="BJ189" s="182">
        <f t="shared" si="468"/>
        <v>9</v>
      </c>
      <c r="BK189" s="164" t="str">
        <f t="shared" si="448"/>
        <v>N/A</v>
      </c>
      <c r="BL189" s="185"/>
      <c r="BO189" s="167"/>
      <c r="BP189" s="167"/>
      <c r="BQ189" s="167" t="str">
        <f t="shared" si="342"/>
        <v/>
      </c>
      <c r="BR189" s="167">
        <f t="shared" si="399"/>
        <v>9</v>
      </c>
      <c r="BS189" s="167">
        <f t="shared" si="400"/>
        <v>9</v>
      </c>
      <c r="BT189" s="167">
        <f t="shared" si="401"/>
        <v>9</v>
      </c>
      <c r="BW189" s="314" t="str">
        <f>D189</f>
        <v>LE 07</v>
      </c>
      <c r="BX189" s="314"/>
      <c r="BY189" s="314"/>
      <c r="BZ189" s="314"/>
      <c r="CA189" s="314"/>
      <c r="CB189" s="314"/>
    </row>
    <row r="190" spans="1:81" x14ac:dyDescent="0.25">
      <c r="A190" s="96">
        <v>182</v>
      </c>
      <c r="C190" s="96" t="str">
        <f t="shared" si="344"/>
        <v>LE 07</v>
      </c>
      <c r="D190" s="188" t="s">
        <v>692</v>
      </c>
      <c r="E190" s="940" t="s">
        <v>990</v>
      </c>
      <c r="F190" s="775"/>
      <c r="G190" s="775"/>
      <c r="H190" s="775"/>
      <c r="I190" s="775"/>
      <c r="J190" s="775"/>
      <c r="K190" s="775"/>
      <c r="L190" s="775"/>
      <c r="M190" s="775"/>
      <c r="N190" s="775"/>
      <c r="O190" s="775"/>
      <c r="P190" s="775"/>
      <c r="Q190" s="775"/>
      <c r="R190" s="775"/>
      <c r="T190" s="221">
        <f t="shared" si="435"/>
        <v>0</v>
      </c>
      <c r="U190" s="192"/>
      <c r="V190" s="193"/>
      <c r="W190" s="193"/>
      <c r="X190" s="167"/>
      <c r="Y190" s="168"/>
      <c r="Z190" s="168"/>
      <c r="AA190" s="169">
        <f t="shared" si="437"/>
        <v>0</v>
      </c>
      <c r="AB190" s="170">
        <f>IF($AC$5='Manuell filtrering og justering'!$J$2,Z190,(T190-AA190))</f>
        <v>0</v>
      </c>
      <c r="AD190" s="171">
        <f t="shared" si="438"/>
        <v>0</v>
      </c>
      <c r="AE190" s="171">
        <f t="shared" si="450"/>
        <v>0</v>
      </c>
      <c r="AF190" s="171">
        <f t="shared" si="451"/>
        <v>0</v>
      </c>
      <c r="AG190" s="171">
        <f t="shared" si="452"/>
        <v>0</v>
      </c>
      <c r="AI190" s="172">
        <f>IF(VLOOKUP(E190,'Pre-Assessment Estimator'!$E$11:$Z$228,'Pre-Assessment Estimator'!$G$2,FALSE)&gt;AB190,AB190,VLOOKUP(E190,'Pre-Assessment Estimator'!$E$11:$Z$228,'Pre-Assessment Estimator'!$G$2,FALSE))</f>
        <v>0</v>
      </c>
      <c r="AJ190" s="172">
        <f>IF(VLOOKUP(E190,'Pre-Assessment Estimator'!$E$11:$Z$228,'Pre-Assessment Estimator'!$N$2,FALSE)&gt;AB190,AB190,VLOOKUP(E190,'Pre-Assessment Estimator'!$E$11:$Z$228,'Pre-Assessment Estimator'!$N$2,FALSE))</f>
        <v>0</v>
      </c>
      <c r="AK190" s="172">
        <f>IF(VLOOKUP(E190,'Pre-Assessment Estimator'!$E$11:$Z$228,'Pre-Assessment Estimator'!$U$2,FALSE)&gt;AB190,AB190,VLOOKUP(E190,'Pre-Assessment Estimator'!$E$11:$Z$228,'Pre-Assessment Estimator'!$U$2,FALSE))</f>
        <v>0</v>
      </c>
      <c r="AM190" s="850"/>
      <c r="AN190" s="851"/>
      <c r="AO190" s="851"/>
      <c r="AP190" s="851"/>
      <c r="AQ190" s="843"/>
      <c r="AR190" s="139"/>
      <c r="AS190" s="850"/>
      <c r="AT190" s="851"/>
      <c r="AU190" s="851"/>
      <c r="AV190" s="851"/>
      <c r="AW190" s="843"/>
      <c r="AY190" s="731"/>
      <c r="AZ190" s="733"/>
      <c r="BA190" s="733"/>
      <c r="BB190" s="733"/>
      <c r="BC190" s="852"/>
      <c r="BD190" s="182">
        <f t="shared" si="466"/>
        <v>9</v>
      </c>
      <c r="BE190" s="164" t="str">
        <f t="shared" si="444"/>
        <v>N/A</v>
      </c>
      <c r="BF190" s="185"/>
      <c r="BG190" s="182">
        <f t="shared" si="467"/>
        <v>9</v>
      </c>
      <c r="BH190" s="164" t="str">
        <f t="shared" si="446"/>
        <v>N/A</v>
      </c>
      <c r="BI190" s="185"/>
      <c r="BJ190" s="182">
        <f t="shared" si="468"/>
        <v>9</v>
      </c>
      <c r="BK190" s="164" t="str">
        <f t="shared" si="448"/>
        <v>N/A</v>
      </c>
      <c r="BL190" s="847"/>
      <c r="BO190" s="167"/>
      <c r="BP190" s="167"/>
      <c r="BQ190" s="167" t="str">
        <f t="shared" si="342"/>
        <v/>
      </c>
      <c r="BR190" s="167">
        <f t="shared" si="399"/>
        <v>9</v>
      </c>
      <c r="BS190" s="167">
        <f t="shared" si="400"/>
        <v>9</v>
      </c>
      <c r="BT190" s="167">
        <f t="shared" si="401"/>
        <v>9</v>
      </c>
      <c r="BW190" s="314"/>
      <c r="BX190" s="314"/>
      <c r="BY190" s="314"/>
      <c r="BZ190" s="314"/>
      <c r="CA190" s="314"/>
      <c r="CB190" s="314"/>
    </row>
    <row r="191" spans="1:81" x14ac:dyDescent="0.25">
      <c r="A191" s="96">
        <v>183</v>
      </c>
      <c r="B191" s="96" t="str">
        <f t="shared" ref="B191" si="515">$D$189&amp;D191</f>
        <v>LE 07b</v>
      </c>
      <c r="C191" s="96" t="str">
        <f t="shared" si="344"/>
        <v>LE 07</v>
      </c>
      <c r="D191" s="188" t="s">
        <v>695</v>
      </c>
      <c r="E191" s="1107" t="s">
        <v>685</v>
      </c>
      <c r="F191" s="775">
        <v>2</v>
      </c>
      <c r="G191" s="775">
        <v>2</v>
      </c>
      <c r="H191" s="775">
        <v>2</v>
      </c>
      <c r="I191" s="775">
        <v>2</v>
      </c>
      <c r="J191" s="775">
        <v>2</v>
      </c>
      <c r="K191" s="775">
        <v>2</v>
      </c>
      <c r="L191" s="775">
        <v>2</v>
      </c>
      <c r="M191" s="775">
        <v>2</v>
      </c>
      <c r="N191" s="775">
        <v>2</v>
      </c>
      <c r="O191" s="775">
        <v>2</v>
      </c>
      <c r="P191" s="775">
        <v>2</v>
      </c>
      <c r="Q191" s="775">
        <v>2</v>
      </c>
      <c r="R191" s="775">
        <v>2</v>
      </c>
      <c r="T191" s="221">
        <f t="shared" si="435"/>
        <v>2</v>
      </c>
      <c r="U191" s="192"/>
      <c r="V191" s="193"/>
      <c r="W191" s="193"/>
      <c r="X191" s="167"/>
      <c r="Y191" s="168"/>
      <c r="Z191" s="168">
        <f>VLOOKUP(B191,'Manuell filtrering og justering'!$A$7:$H$253,'Manuell filtrering og justering'!$H$1,FALSE)</f>
        <v>2</v>
      </c>
      <c r="AA191" s="169">
        <f t="shared" si="437"/>
        <v>0</v>
      </c>
      <c r="AB191" s="170">
        <f>IF($AC$5='Manuell filtrering og justering'!$J$2,Z191,(T191-AA191))</f>
        <v>2</v>
      </c>
      <c r="AD191" s="171">
        <f t="shared" si="438"/>
        <v>1.5789473684210527E-2</v>
      </c>
      <c r="AE191" s="171">
        <f t="shared" si="450"/>
        <v>0</v>
      </c>
      <c r="AF191" s="171">
        <f t="shared" si="451"/>
        <v>0</v>
      </c>
      <c r="AG191" s="171">
        <f t="shared" si="452"/>
        <v>0</v>
      </c>
      <c r="AI191" s="1067">
        <f>IF(AI247=AD_no,0,IF(VLOOKUP(E191,'Pre-Assessment Estimator'!$E$11:$Z$228,'Pre-Assessment Estimator'!$G$2,FALSE)&gt;AB191,AB191,VLOOKUP(E191,'Pre-Assessment Estimator'!$E$11:$Z$228,'Pre-Assessment Estimator'!$G$2,FALSE)))</f>
        <v>0</v>
      </c>
      <c r="AJ191" s="1067">
        <f>IF(AJ247=AD_no,0,IF(VLOOKUP(E191,'Pre-Assessment Estimator'!$E$11:$Z$228,'Pre-Assessment Estimator'!$N$2,FALSE)&gt;AB191,AB191,VLOOKUP(E191,'Pre-Assessment Estimator'!$E$11:$Z$228,'Pre-Assessment Estimator'!$N$2,FALSE)))</f>
        <v>0</v>
      </c>
      <c r="AK191" s="1067">
        <f>IF(AK247=AD_no,0,IF(VLOOKUP(E191,'Pre-Assessment Estimator'!$E$11:$Z$228,'Pre-Assessment Estimator'!$U$2,FALSE)&gt;AB191,AB191,VLOOKUP(E191,'Pre-Assessment Estimator'!$E$11:$Z$228,'Pre-Assessment Estimator'!$U$2,FALSE)))</f>
        <v>0</v>
      </c>
      <c r="AM191" s="850"/>
      <c r="AN191" s="851"/>
      <c r="AO191" s="851"/>
      <c r="AP191" s="851"/>
      <c r="AQ191" s="843"/>
      <c r="AR191" s="139"/>
      <c r="AS191" s="850"/>
      <c r="AT191" s="851"/>
      <c r="AU191" s="851"/>
      <c r="AV191" s="851"/>
      <c r="AW191" s="843"/>
      <c r="AY191" s="731"/>
      <c r="AZ191" s="733"/>
      <c r="BA191" s="733"/>
      <c r="BB191" s="733"/>
      <c r="BC191" s="852"/>
      <c r="BD191" s="182">
        <f t="shared" si="466"/>
        <v>9</v>
      </c>
      <c r="BE191" s="164" t="str">
        <f t="shared" si="444"/>
        <v>N/A</v>
      </c>
      <c r="BF191" s="185"/>
      <c r="BG191" s="182">
        <f t="shared" si="467"/>
        <v>9</v>
      </c>
      <c r="BH191" s="164" t="str">
        <f t="shared" si="446"/>
        <v>N/A</v>
      </c>
      <c r="BI191" s="185"/>
      <c r="BJ191" s="182">
        <f t="shared" si="468"/>
        <v>9</v>
      </c>
      <c r="BK191" s="164" t="str">
        <f t="shared" si="448"/>
        <v>N/A</v>
      </c>
      <c r="BL191" s="847"/>
      <c r="BO191" s="167"/>
      <c r="BP191" s="167"/>
      <c r="BQ191" s="167" t="str">
        <f t="shared" si="342"/>
        <v/>
      </c>
      <c r="BR191" s="167">
        <f t="shared" si="399"/>
        <v>9</v>
      </c>
      <c r="BS191" s="167">
        <f t="shared" si="400"/>
        <v>9</v>
      </c>
      <c r="BT191" s="167">
        <f t="shared" si="401"/>
        <v>9</v>
      </c>
      <c r="BW191" s="314"/>
      <c r="BX191" s="314"/>
      <c r="BY191" s="314"/>
      <c r="BZ191" s="314"/>
      <c r="CA191" s="314"/>
      <c r="CB191" s="314"/>
    </row>
    <row r="192" spans="1:81" ht="15.75" thickBot="1" x14ac:dyDescent="0.3">
      <c r="A192" s="96">
        <v>184</v>
      </c>
      <c r="B192" s="137" t="str">
        <f>D192</f>
        <v>LE 08</v>
      </c>
      <c r="C192" s="137" t="str">
        <f>B192</f>
        <v>LE 08</v>
      </c>
      <c r="D192" s="946" t="s">
        <v>481</v>
      </c>
      <c r="E192" s="832" t="s">
        <v>691</v>
      </c>
      <c r="F192" s="933">
        <f>SUM(F193:F196)</f>
        <v>3</v>
      </c>
      <c r="G192" s="933">
        <f t="shared" ref="G192:R192" si="516">SUM(G193:G196)</f>
        <v>3</v>
      </c>
      <c r="H192" s="933">
        <f t="shared" si="516"/>
        <v>3</v>
      </c>
      <c r="I192" s="933">
        <f t="shared" si="516"/>
        <v>3</v>
      </c>
      <c r="J192" s="933">
        <f t="shared" si="516"/>
        <v>3</v>
      </c>
      <c r="K192" s="933">
        <f t="shared" si="516"/>
        <v>3</v>
      </c>
      <c r="L192" s="933">
        <f t="shared" si="516"/>
        <v>3</v>
      </c>
      <c r="M192" s="933">
        <f t="shared" si="516"/>
        <v>3</v>
      </c>
      <c r="N192" s="933">
        <f t="shared" si="516"/>
        <v>3</v>
      </c>
      <c r="O192" s="933">
        <f t="shared" si="516"/>
        <v>3</v>
      </c>
      <c r="P192" s="933">
        <f t="shared" si="516"/>
        <v>3</v>
      </c>
      <c r="Q192" s="933">
        <f t="shared" ref="Q192" si="517">SUM(Q193:Q196)</f>
        <v>3</v>
      </c>
      <c r="R192" s="933">
        <f t="shared" si="516"/>
        <v>3</v>
      </c>
      <c r="T192" s="963">
        <f t="shared" si="435"/>
        <v>3</v>
      </c>
      <c r="U192" s="728"/>
      <c r="V192" s="964"/>
      <c r="W192" s="964"/>
      <c r="X192" s="230">
        <f>'Manuell filtrering og justering'!E82</f>
        <v>0</v>
      </c>
      <c r="Y192" s="230"/>
      <c r="Z192" s="958">
        <f t="shared" ref="Z192" si="518">SUM(Z193:Z196)</f>
        <v>2</v>
      </c>
      <c r="AA192" s="963">
        <f t="shared" si="437"/>
        <v>0</v>
      </c>
      <c r="AB192" s="1066">
        <f>SUM(AB193:AB196)</f>
        <v>3</v>
      </c>
      <c r="AD192" s="171">
        <f t="shared" si="438"/>
        <v>2.368421052631579E-2</v>
      </c>
      <c r="AE192" s="921">
        <f>SUM(AE193:AE196)</f>
        <v>0</v>
      </c>
      <c r="AF192" s="921">
        <f t="shared" ref="AF192" si="519">SUM(AF193:AF196)</f>
        <v>0</v>
      </c>
      <c r="AG192" s="921">
        <f t="shared" ref="AG192" si="520">SUM(AG193:AG196)</f>
        <v>0</v>
      </c>
      <c r="AI192" s="958">
        <f t="shared" ref="AI192" si="521">SUM(AI193:AI196)</f>
        <v>0</v>
      </c>
      <c r="AJ192" s="958">
        <f t="shared" ref="AJ192" si="522">SUM(AJ193:AJ196)</f>
        <v>0</v>
      </c>
      <c r="AK192" s="958">
        <f t="shared" ref="AK192" si="523">SUM(AK193:AK196)</f>
        <v>0</v>
      </c>
      <c r="AM192" s="295"/>
      <c r="AN192" s="296"/>
      <c r="AO192" s="296"/>
      <c r="AP192" s="296"/>
      <c r="AQ192" s="297"/>
      <c r="AR192" s="139"/>
      <c r="AS192" s="295"/>
      <c r="AT192" s="296"/>
      <c r="AU192" s="296"/>
      <c r="AV192" s="296"/>
      <c r="AW192" s="297"/>
      <c r="AY192" s="194"/>
      <c r="AZ192" s="196"/>
      <c r="BA192" s="196"/>
      <c r="BB192" s="196"/>
      <c r="BC192" s="197"/>
      <c r="BD192" s="198">
        <f t="shared" ref="BD192:BD196" si="524">IF(BC192=0,9,IF(AI192&gt;=BC192,5,IF(AI192&gt;=BB192,4,IF(AI192&gt;=BA192,3,IF(AI192&gt;=AZ192,2,IF(AI192&lt;AY192,0,1))))))</f>
        <v>9</v>
      </c>
      <c r="BE192" s="164" t="str">
        <f t="shared" si="444"/>
        <v>N/A</v>
      </c>
      <c r="BF192" s="200"/>
      <c r="BG192" s="198">
        <f t="shared" ref="BG192:BG196" si="525">IF(BC192=0,9,IF(AJ192&gt;=BC192,5,IF(AJ192&gt;=BB192,4,IF(AJ192&gt;=BA192,3,IF(AJ192&gt;=AZ192,2,IF(AJ192&lt;AY192,0,1))))))</f>
        <v>9</v>
      </c>
      <c r="BH192" s="164" t="str">
        <f t="shared" si="446"/>
        <v>N/A</v>
      </c>
      <c r="BI192" s="200"/>
      <c r="BJ192" s="198">
        <f t="shared" ref="BJ192:BJ196" si="526">IF(BC192=0,9,IF(AK192&gt;=BC192,5,IF(AK192&gt;=BB192,4,IF(AK192&gt;=BA192,3,IF(AK192&gt;=AZ192,2,IF(AK192&lt;AY192,0,1))))))</f>
        <v>9</v>
      </c>
      <c r="BK192" s="164" t="str">
        <f t="shared" si="448"/>
        <v>N/A</v>
      </c>
      <c r="BL192" s="200"/>
      <c r="BO192" s="167"/>
      <c r="BP192" s="167"/>
      <c r="BQ192" s="167" t="str">
        <f t="shared" si="342"/>
        <v/>
      </c>
      <c r="BR192" s="167">
        <f t="shared" si="399"/>
        <v>9</v>
      </c>
      <c r="BS192" s="167">
        <f t="shared" si="400"/>
        <v>9</v>
      </c>
      <c r="BT192" s="167">
        <f t="shared" si="401"/>
        <v>9</v>
      </c>
      <c r="BW192" s="314" t="str">
        <f>D192</f>
        <v>LE 08</v>
      </c>
      <c r="BX192" s="314"/>
      <c r="BY192" s="314"/>
      <c r="BZ192" s="314"/>
      <c r="CA192" s="314"/>
      <c r="CB192" s="314"/>
    </row>
    <row r="193" spans="1:85" x14ac:dyDescent="0.25">
      <c r="A193" s="96">
        <v>185</v>
      </c>
      <c r="C193" s="96" t="str">
        <f t="shared" si="344"/>
        <v>LE 08</v>
      </c>
      <c r="D193" s="188" t="s">
        <v>692</v>
      </c>
      <c r="E193" s="940" t="s">
        <v>991</v>
      </c>
      <c r="F193" s="775"/>
      <c r="G193" s="775"/>
      <c r="H193" s="775"/>
      <c r="I193" s="775"/>
      <c r="J193" s="775"/>
      <c r="K193" s="775"/>
      <c r="L193" s="775"/>
      <c r="M193" s="775"/>
      <c r="N193" s="775"/>
      <c r="O193" s="775"/>
      <c r="P193" s="775"/>
      <c r="Q193" s="775"/>
      <c r="R193" s="775"/>
      <c r="T193" s="221">
        <f t="shared" si="435"/>
        <v>0</v>
      </c>
      <c r="U193" s="192"/>
      <c r="V193" s="193"/>
      <c r="W193" s="193"/>
      <c r="X193" s="193"/>
      <c r="Y193" s="1164"/>
      <c r="Z193" s="168"/>
      <c r="AA193" s="169">
        <f t="shared" si="437"/>
        <v>0</v>
      </c>
      <c r="AB193" s="170">
        <f>IF($AC$5='Manuell filtrering og justering'!$J$2,Z193,(T193-AA193))</f>
        <v>0</v>
      </c>
      <c r="AD193" s="171">
        <f t="shared" si="438"/>
        <v>0</v>
      </c>
      <c r="AE193" s="171">
        <f t="shared" si="450"/>
        <v>0</v>
      </c>
      <c r="AF193" s="171">
        <f t="shared" si="451"/>
        <v>0</v>
      </c>
      <c r="AG193" s="171">
        <f t="shared" si="452"/>
        <v>0</v>
      </c>
      <c r="AI193" s="172">
        <f>IF(VLOOKUP(E193,'Pre-Assessment Estimator'!$E$11:$Z$228,'Pre-Assessment Estimator'!$G$2,FALSE)&gt;AB193,AB193,VLOOKUP(E193,'Pre-Assessment Estimator'!$E$11:$Z$228,'Pre-Assessment Estimator'!$G$2,FALSE))</f>
        <v>0</v>
      </c>
      <c r="AJ193" s="172">
        <f>IF(VLOOKUP(E193,'Pre-Assessment Estimator'!$E$11:$Z$228,'Pre-Assessment Estimator'!$N$2,FALSE)&gt;AB193,AB193,VLOOKUP(E193,'Pre-Assessment Estimator'!$E$11:$Z$228,'Pre-Assessment Estimator'!$N$2,FALSE))</f>
        <v>0</v>
      </c>
      <c r="AK193" s="172">
        <f>IF(VLOOKUP(E193,'Pre-Assessment Estimator'!$E$11:$Z$228,'Pre-Assessment Estimator'!$U$2,FALSE)&gt;AB193,AB193,VLOOKUP(E193,'Pre-Assessment Estimator'!$E$11:$Z$228,'Pre-Assessment Estimator'!$U$2,FALSE))</f>
        <v>0</v>
      </c>
      <c r="AM193" s="850"/>
      <c r="AN193" s="851"/>
      <c r="AO193" s="851"/>
      <c r="AP193" s="851"/>
      <c r="AQ193" s="843"/>
      <c r="AR193" s="139"/>
      <c r="AS193" s="850"/>
      <c r="AT193" s="851"/>
      <c r="AU193" s="851"/>
      <c r="AV193" s="851"/>
      <c r="AW193" s="843"/>
      <c r="AY193" s="731"/>
      <c r="AZ193" s="733"/>
      <c r="BA193" s="733"/>
      <c r="BB193" s="733"/>
      <c r="BC193" s="852"/>
      <c r="BD193" s="182">
        <f t="shared" si="524"/>
        <v>9</v>
      </c>
      <c r="BE193" s="164" t="str">
        <f t="shared" si="444"/>
        <v>N/A</v>
      </c>
      <c r="BF193" s="185"/>
      <c r="BG193" s="182">
        <f t="shared" si="525"/>
        <v>9</v>
      </c>
      <c r="BH193" s="164" t="str">
        <f t="shared" si="446"/>
        <v>N/A</v>
      </c>
      <c r="BI193" s="185"/>
      <c r="BJ193" s="182">
        <f t="shared" si="526"/>
        <v>9</v>
      </c>
      <c r="BK193" s="164" t="str">
        <f t="shared" si="448"/>
        <v>N/A</v>
      </c>
      <c r="BL193" s="847"/>
      <c r="BO193" s="167"/>
      <c r="BP193" s="167"/>
      <c r="BQ193" s="167" t="str">
        <f t="shared" si="342"/>
        <v/>
      </c>
      <c r="BR193" s="167">
        <f t="shared" si="399"/>
        <v>9</v>
      </c>
      <c r="BS193" s="167">
        <f t="shared" si="400"/>
        <v>9</v>
      </c>
      <c r="BT193" s="167">
        <f t="shared" si="401"/>
        <v>9</v>
      </c>
      <c r="BW193" s="314"/>
      <c r="BX193" s="314"/>
      <c r="BY193" s="314"/>
      <c r="BZ193" s="314"/>
      <c r="CA193" s="314"/>
      <c r="CB193" s="314"/>
    </row>
    <row r="194" spans="1:85" x14ac:dyDescent="0.25">
      <c r="A194" s="96">
        <v>186</v>
      </c>
      <c r="B194" s="96" t="str">
        <f t="shared" ref="B194:B196" si="527">$D$192&amp;D194</f>
        <v>LE 08b</v>
      </c>
      <c r="C194" s="96" t="str">
        <f t="shared" si="344"/>
        <v>LE 08</v>
      </c>
      <c r="D194" s="188" t="s">
        <v>695</v>
      </c>
      <c r="E194" s="1107" t="s">
        <v>959</v>
      </c>
      <c r="F194" s="775">
        <v>1</v>
      </c>
      <c r="G194" s="775">
        <v>1</v>
      </c>
      <c r="H194" s="775">
        <v>1</v>
      </c>
      <c r="I194" s="775">
        <v>1</v>
      </c>
      <c r="J194" s="775">
        <v>1</v>
      </c>
      <c r="K194" s="775">
        <v>1</v>
      </c>
      <c r="L194" s="775">
        <v>1</v>
      </c>
      <c r="M194" s="775">
        <v>1</v>
      </c>
      <c r="N194" s="775">
        <v>1</v>
      </c>
      <c r="O194" s="775">
        <v>1</v>
      </c>
      <c r="P194" s="775">
        <v>1</v>
      </c>
      <c r="Q194" s="775">
        <v>1</v>
      </c>
      <c r="R194" s="775">
        <v>1</v>
      </c>
      <c r="T194" s="221">
        <f t="shared" si="435"/>
        <v>1</v>
      </c>
      <c r="U194" s="192"/>
      <c r="V194" s="193"/>
      <c r="W194" s="193"/>
      <c r="X194" s="193"/>
      <c r="Y194" s="1164"/>
      <c r="Z194" s="168">
        <f>VLOOKUP(B194,'Manuell filtrering og justering'!$A$7:$H$253,'Manuell filtrering og justering'!$H$1,FALSE)</f>
        <v>1</v>
      </c>
      <c r="AA194" s="169">
        <f t="shared" si="437"/>
        <v>0</v>
      </c>
      <c r="AB194" s="170">
        <f>IF($AC$5='Manuell filtrering og justering'!$J$2,Z194,(T194-AA194))</f>
        <v>1</v>
      </c>
      <c r="AD194" s="171">
        <f t="shared" si="438"/>
        <v>7.8947368421052634E-3</v>
      </c>
      <c r="AE194" s="171">
        <f t="shared" si="450"/>
        <v>0</v>
      </c>
      <c r="AF194" s="171">
        <f t="shared" si="451"/>
        <v>0</v>
      </c>
      <c r="AG194" s="171">
        <f t="shared" si="452"/>
        <v>0</v>
      </c>
      <c r="AI194" s="1067">
        <f>IF(AI248=AD_no,0,IF(VLOOKUP(E194,'Pre-Assessment Estimator'!$E$11:$Z$228,'Pre-Assessment Estimator'!$G$2,FALSE)&gt;AB194,AB194,VLOOKUP(E194,'Pre-Assessment Estimator'!$E$11:$Z$228,'Pre-Assessment Estimator'!$G$2,FALSE)))</f>
        <v>0</v>
      </c>
      <c r="AJ194" s="1067">
        <f>IF(AJ248=AD_no,0,IF(VLOOKUP(E194,'Pre-Assessment Estimator'!$E$11:$Z$228,'Pre-Assessment Estimator'!$N$2,FALSE)&gt;AB194,AB194,VLOOKUP(E194,'Pre-Assessment Estimator'!$E$11:$Z$228,'Pre-Assessment Estimator'!$N$2,FALSE)))</f>
        <v>0</v>
      </c>
      <c r="AK194" s="1067">
        <f>IF(AK248=AD_no,0,IF(VLOOKUP(E194,'Pre-Assessment Estimator'!$E$11:$Z$228,'Pre-Assessment Estimator'!$U$2,FALSE)&gt;AB194,AB194,VLOOKUP(E194,'Pre-Assessment Estimator'!$E$11:$Z$228,'Pre-Assessment Estimator'!$U$2,FALSE)))</f>
        <v>0</v>
      </c>
      <c r="AM194" s="850"/>
      <c r="AN194" s="851"/>
      <c r="AO194" s="851"/>
      <c r="AP194" s="851"/>
      <c r="AQ194" s="843"/>
      <c r="AR194" s="139"/>
      <c r="AS194" s="850"/>
      <c r="AT194" s="851"/>
      <c r="AU194" s="851"/>
      <c r="AV194" s="851"/>
      <c r="AW194" s="843"/>
      <c r="AY194" s="731"/>
      <c r="AZ194" s="733"/>
      <c r="BA194" s="733"/>
      <c r="BB194" s="733"/>
      <c r="BC194" s="852"/>
      <c r="BD194" s="182">
        <f t="shared" si="524"/>
        <v>9</v>
      </c>
      <c r="BE194" s="164" t="str">
        <f t="shared" si="444"/>
        <v>N/A</v>
      </c>
      <c r="BF194" s="185"/>
      <c r="BG194" s="182">
        <f t="shared" si="525"/>
        <v>9</v>
      </c>
      <c r="BH194" s="164" t="str">
        <f t="shared" si="446"/>
        <v>N/A</v>
      </c>
      <c r="BI194" s="185"/>
      <c r="BJ194" s="182">
        <f t="shared" si="526"/>
        <v>9</v>
      </c>
      <c r="BK194" s="164" t="str">
        <f t="shared" si="448"/>
        <v>N/A</v>
      </c>
      <c r="BL194" s="847"/>
      <c r="BO194" s="167"/>
      <c r="BP194" s="167"/>
      <c r="BQ194" s="167" t="str">
        <f t="shared" si="342"/>
        <v/>
      </c>
      <c r="BR194" s="167">
        <f t="shared" si="399"/>
        <v>9</v>
      </c>
      <c r="BS194" s="167">
        <f t="shared" si="400"/>
        <v>9</v>
      </c>
      <c r="BT194" s="167">
        <f t="shared" si="401"/>
        <v>9</v>
      </c>
      <c r="BW194" s="314"/>
      <c r="BX194" s="314"/>
      <c r="BY194" s="314"/>
      <c r="BZ194" s="314"/>
      <c r="CA194" s="314"/>
      <c r="CB194" s="314"/>
    </row>
    <row r="195" spans="1:85" x14ac:dyDescent="0.25">
      <c r="A195" s="96">
        <v>187</v>
      </c>
      <c r="B195" s="96" t="str">
        <f t="shared" si="527"/>
        <v>LE 08c</v>
      </c>
      <c r="C195" s="96" t="str">
        <f t="shared" si="344"/>
        <v>LE 08</v>
      </c>
      <c r="D195" s="731" t="s">
        <v>696</v>
      </c>
      <c r="E195" s="1127" t="s">
        <v>687</v>
      </c>
      <c r="F195" s="941">
        <v>1</v>
      </c>
      <c r="G195" s="941">
        <v>1</v>
      </c>
      <c r="H195" s="941">
        <v>1</v>
      </c>
      <c r="I195" s="941">
        <v>1</v>
      </c>
      <c r="J195" s="941">
        <v>1</v>
      </c>
      <c r="K195" s="941">
        <v>1</v>
      </c>
      <c r="L195" s="941">
        <v>1</v>
      </c>
      <c r="M195" s="941">
        <v>1</v>
      </c>
      <c r="N195" s="941">
        <v>1</v>
      </c>
      <c r="O195" s="941">
        <v>1</v>
      </c>
      <c r="P195" s="941">
        <v>1</v>
      </c>
      <c r="Q195" s="941">
        <v>1</v>
      </c>
      <c r="R195" s="941">
        <v>1</v>
      </c>
      <c r="T195" s="221">
        <f t="shared" si="435"/>
        <v>1</v>
      </c>
      <c r="U195" s="192"/>
      <c r="V195" s="193"/>
      <c r="W195" s="193"/>
      <c r="X195" s="193"/>
      <c r="Y195" s="1164"/>
      <c r="Z195" s="168">
        <f>VLOOKUP(B195,'Manuell filtrering og justering'!$A$7:$H$253,'Manuell filtrering og justering'!$H$1,FALSE)</f>
        <v>1</v>
      </c>
      <c r="AA195" s="169">
        <f t="shared" si="437"/>
        <v>0</v>
      </c>
      <c r="AB195" s="170">
        <f>IF($AC$5='Manuell filtrering og justering'!$J$2,Z195,(T195-AA195))</f>
        <v>1</v>
      </c>
      <c r="AD195" s="171">
        <f t="shared" ref="AD195" si="528">(LE_Weight/LE_Credits)*AB195</f>
        <v>7.8947368421052634E-3</v>
      </c>
      <c r="AE195" s="171">
        <f t="shared" ref="AE195" si="529">IF(AB195=0,0,(AD195/AB195)*AI195)</f>
        <v>0</v>
      </c>
      <c r="AF195" s="171">
        <f t="shared" ref="AF195" si="530">IF(AB195=0,0,(AD195/AB195)*AJ195)</f>
        <v>0</v>
      </c>
      <c r="AG195" s="171">
        <f t="shared" ref="AG195" si="531">IF(AB195=0,0,(AD195/AB195)*AK195)</f>
        <v>0</v>
      </c>
      <c r="AI195" s="1067">
        <f>IF(AI248=AD_no,0,IF(VLOOKUP(E195,'Pre-Assessment Estimator'!$E$11:$Z$228,'Pre-Assessment Estimator'!$G$2,FALSE)&gt;AB195,AB195,VLOOKUP(E195,'Pre-Assessment Estimator'!$E$11:$Z$228,'Pre-Assessment Estimator'!$G$2,FALSE)))</f>
        <v>0</v>
      </c>
      <c r="AJ195" s="1067">
        <f>IF(AJ248=AD_no,0,IF(VLOOKUP(E195,'Pre-Assessment Estimator'!$E$11:$Z$228,'Pre-Assessment Estimator'!$N$2,FALSE)&gt;AB195,AB195,VLOOKUP(E195,'Pre-Assessment Estimator'!$E$11:$Z$228,'Pre-Assessment Estimator'!$N$2,FALSE)))</f>
        <v>0</v>
      </c>
      <c r="AK195" s="1067">
        <f>IF(AK248=AD_no,0,IF(VLOOKUP(E195,'Pre-Assessment Estimator'!$E$11:$Z$228,'Pre-Assessment Estimator'!$U$2,FALSE)&gt;AB195,AB195,VLOOKUP(E195,'Pre-Assessment Estimator'!$E$11:$Z$228,'Pre-Assessment Estimator'!$U$2,FALSE)))</f>
        <v>0</v>
      </c>
      <c r="AM195" s="850"/>
      <c r="AN195" s="851"/>
      <c r="AO195" s="851"/>
      <c r="AP195" s="851"/>
      <c r="AQ195" s="843"/>
      <c r="AR195" s="139"/>
      <c r="AS195" s="850"/>
      <c r="AT195" s="851"/>
      <c r="AU195" s="851"/>
      <c r="AV195" s="851"/>
      <c r="AW195" s="843"/>
      <c r="AY195" s="731"/>
      <c r="AZ195" s="733"/>
      <c r="BA195" s="733"/>
      <c r="BB195" s="733"/>
      <c r="BC195" s="852"/>
      <c r="BD195" s="182">
        <f t="shared" ref="BD195" si="532">IF(BC195=0,9,IF(AI195&gt;=BC195,5,IF(AI195&gt;=BB195,4,IF(AI195&gt;=BA195,3,IF(AI195&gt;=AZ195,2,IF(AI195&lt;AY195,0,1))))))</f>
        <v>9</v>
      </c>
      <c r="BE195" s="164" t="str">
        <f t="shared" si="444"/>
        <v>N/A</v>
      </c>
      <c r="BF195" s="185"/>
      <c r="BG195" s="182">
        <f t="shared" ref="BG195" si="533">IF(BC195=0,9,IF(AJ195&gt;=BC195,5,IF(AJ195&gt;=BB195,4,IF(AJ195&gt;=BA195,3,IF(AJ195&gt;=AZ195,2,IF(AJ195&lt;AY195,0,1))))))</f>
        <v>9</v>
      </c>
      <c r="BH195" s="164" t="str">
        <f t="shared" si="446"/>
        <v>N/A</v>
      </c>
      <c r="BI195" s="185"/>
      <c r="BJ195" s="182">
        <f t="shared" ref="BJ195" si="534">IF(BC195=0,9,IF(AK195&gt;=BC195,5,IF(AK195&gt;=BB195,4,IF(AK195&gt;=BA195,3,IF(AK195&gt;=AZ195,2,IF(AK195&lt;AY195,0,1))))))</f>
        <v>9</v>
      </c>
      <c r="BK195" s="164" t="str">
        <f t="shared" si="448"/>
        <v>N/A</v>
      </c>
      <c r="BL195" s="847"/>
      <c r="BO195" s="167"/>
      <c r="BP195" s="167"/>
      <c r="BQ195" s="167" t="str">
        <f t="shared" si="342"/>
        <v/>
      </c>
      <c r="BR195" s="167">
        <f t="shared" si="399"/>
        <v>9</v>
      </c>
      <c r="BS195" s="167">
        <f t="shared" si="400"/>
        <v>9</v>
      </c>
      <c r="BT195" s="167">
        <f t="shared" si="401"/>
        <v>9</v>
      </c>
      <c r="BW195" s="314"/>
      <c r="BX195" s="314"/>
      <c r="BY195" s="314"/>
      <c r="BZ195" s="314"/>
      <c r="CA195" s="314"/>
      <c r="CB195" s="314"/>
    </row>
    <row r="196" spans="1:85" ht="15.75" thickBot="1" x14ac:dyDescent="0.3">
      <c r="A196" s="96">
        <v>188</v>
      </c>
      <c r="B196" s="96" t="str">
        <f t="shared" si="527"/>
        <v>LE 08d</v>
      </c>
      <c r="C196" s="96" t="str">
        <f t="shared" si="344"/>
        <v>LE 08</v>
      </c>
      <c r="D196" s="731" t="s">
        <v>694</v>
      </c>
      <c r="E196" s="1127" t="s">
        <v>688</v>
      </c>
      <c r="F196" s="941">
        <v>1</v>
      </c>
      <c r="G196" s="941">
        <v>1</v>
      </c>
      <c r="H196" s="941">
        <v>1</v>
      </c>
      <c r="I196" s="941">
        <v>1</v>
      </c>
      <c r="J196" s="941">
        <v>1</v>
      </c>
      <c r="K196" s="941">
        <v>1</v>
      </c>
      <c r="L196" s="941">
        <v>1</v>
      </c>
      <c r="M196" s="941">
        <v>1</v>
      </c>
      <c r="N196" s="941">
        <v>1</v>
      </c>
      <c r="O196" s="941">
        <v>1</v>
      </c>
      <c r="P196" s="941">
        <v>1</v>
      </c>
      <c r="Q196" s="941">
        <v>1</v>
      </c>
      <c r="R196" s="941">
        <v>1</v>
      </c>
      <c r="T196" s="221">
        <f t="shared" si="435"/>
        <v>1</v>
      </c>
      <c r="U196" s="192"/>
      <c r="V196" s="193"/>
      <c r="W196" s="193"/>
      <c r="X196" s="193"/>
      <c r="Y196" s="1164"/>
      <c r="Z196" s="168">
        <f>VLOOKUP(B196,'Manuell filtrering og justering'!$A$7:$H$253,'Manuell filtrering og justering'!$H$1,FALSE)</f>
        <v>0</v>
      </c>
      <c r="AA196" s="169">
        <f t="shared" si="437"/>
        <v>0</v>
      </c>
      <c r="AB196" s="170">
        <f>IF($AC$5='Manuell filtrering og justering'!$J$2,Z196,(T196-AA196))</f>
        <v>1</v>
      </c>
      <c r="AD196" s="171">
        <f t="shared" si="438"/>
        <v>7.8947368421052634E-3</v>
      </c>
      <c r="AE196" s="171">
        <f t="shared" si="450"/>
        <v>0</v>
      </c>
      <c r="AF196" s="171">
        <f t="shared" si="451"/>
        <v>0</v>
      </c>
      <c r="AG196" s="171">
        <f t="shared" si="452"/>
        <v>0</v>
      </c>
      <c r="AI196" s="1067">
        <f>IF(AI248=AD_no,0,IF(VLOOKUP(E196,'Pre-Assessment Estimator'!$E$11:$Z$228,'Pre-Assessment Estimator'!$G$2,FALSE)&gt;AB196,AB196,VLOOKUP(E196,'Pre-Assessment Estimator'!$E$11:$Z$228,'Pre-Assessment Estimator'!$G$2,FALSE)))</f>
        <v>0</v>
      </c>
      <c r="AJ196" s="1067">
        <f>IF(AJ248=AD_no,0,IF(VLOOKUP(E196,'Pre-Assessment Estimator'!$E$11:$Z$228,'Pre-Assessment Estimator'!$N$2,FALSE)&gt;AB196,AB196,VLOOKUP(E196,'Pre-Assessment Estimator'!$E$11:$Z$228,'Pre-Assessment Estimator'!$N$2,FALSE)))</f>
        <v>0</v>
      </c>
      <c r="AK196" s="1067">
        <f>IF(AK248=AD_no,0,IF(VLOOKUP(E196,'Pre-Assessment Estimator'!$E$11:$Z$228,'Pre-Assessment Estimator'!$U$2,FALSE)&gt;AB196,AB196,VLOOKUP(E196,'Pre-Assessment Estimator'!$E$11:$Z$228,'Pre-Assessment Estimator'!$U$2,FALSE)))</f>
        <v>0</v>
      </c>
      <c r="AM196" s="850"/>
      <c r="AN196" s="851"/>
      <c r="AO196" s="851"/>
      <c r="AP196" s="851"/>
      <c r="AQ196" s="843"/>
      <c r="AR196" s="139"/>
      <c r="AS196" s="850"/>
      <c r="AT196" s="851"/>
      <c r="AU196" s="851"/>
      <c r="AV196" s="851"/>
      <c r="AW196" s="843"/>
      <c r="AY196" s="731"/>
      <c r="AZ196" s="733"/>
      <c r="BA196" s="733"/>
      <c r="BB196" s="733"/>
      <c r="BC196" s="852"/>
      <c r="BD196" s="182">
        <f t="shared" si="524"/>
        <v>9</v>
      </c>
      <c r="BE196" s="164" t="str">
        <f t="shared" si="444"/>
        <v>N/A</v>
      </c>
      <c r="BF196" s="185"/>
      <c r="BG196" s="182">
        <f t="shared" si="525"/>
        <v>9</v>
      </c>
      <c r="BH196" s="164" t="str">
        <f t="shared" si="446"/>
        <v>N/A</v>
      </c>
      <c r="BI196" s="185"/>
      <c r="BJ196" s="182">
        <f t="shared" si="526"/>
        <v>9</v>
      </c>
      <c r="BK196" s="164" t="str">
        <f t="shared" si="448"/>
        <v>N/A</v>
      </c>
      <c r="BL196" s="847"/>
      <c r="BO196" s="167"/>
      <c r="BP196" s="167"/>
      <c r="BQ196" s="167" t="str">
        <f t="shared" si="342"/>
        <v/>
      </c>
      <c r="BR196" s="167">
        <f t="shared" si="399"/>
        <v>9</v>
      </c>
      <c r="BS196" s="167">
        <f t="shared" si="400"/>
        <v>9</v>
      </c>
      <c r="BT196" s="167">
        <f t="shared" si="401"/>
        <v>9</v>
      </c>
      <c r="BW196" s="314"/>
      <c r="BX196" s="314"/>
      <c r="BY196" s="314"/>
      <c r="BZ196" s="314"/>
      <c r="CA196" s="314"/>
      <c r="CB196" s="314"/>
    </row>
    <row r="197" spans="1:85" ht="15.75" thickBot="1" x14ac:dyDescent="0.3">
      <c r="A197" s="96">
        <v>189</v>
      </c>
      <c r="B197" s="96" t="s">
        <v>888</v>
      </c>
      <c r="D197" s="201"/>
      <c r="E197" s="202" t="s">
        <v>213</v>
      </c>
      <c r="F197" s="773">
        <f>F169+F171+F175+F179+F183+F187+F189+F192</f>
        <v>19</v>
      </c>
      <c r="G197" s="773">
        <f t="shared" ref="G197:R197" si="535">G169+G171+G175+G179+G183+G187+G189+G192</f>
        <v>19</v>
      </c>
      <c r="H197" s="773">
        <f t="shared" si="535"/>
        <v>19</v>
      </c>
      <c r="I197" s="773">
        <f t="shared" si="535"/>
        <v>19</v>
      </c>
      <c r="J197" s="773">
        <f t="shared" si="535"/>
        <v>19</v>
      </c>
      <c r="K197" s="773">
        <f t="shared" si="535"/>
        <v>19</v>
      </c>
      <c r="L197" s="773">
        <f t="shared" si="535"/>
        <v>19</v>
      </c>
      <c r="M197" s="773">
        <f t="shared" si="535"/>
        <v>19</v>
      </c>
      <c r="N197" s="773">
        <f t="shared" si="535"/>
        <v>19</v>
      </c>
      <c r="O197" s="773">
        <f t="shared" si="535"/>
        <v>19</v>
      </c>
      <c r="P197" s="773">
        <f t="shared" si="535"/>
        <v>19</v>
      </c>
      <c r="Q197" s="1126">
        <f t="shared" ref="Q197" si="536">Q169+Q171+Q175+Q179+Q183+Q187+Q189+Q192</f>
        <v>19</v>
      </c>
      <c r="R197" s="1126">
        <f t="shared" si="535"/>
        <v>19</v>
      </c>
      <c r="T197" s="226">
        <f t="shared" si="435"/>
        <v>19</v>
      </c>
      <c r="U197" s="204"/>
      <c r="V197" s="205"/>
      <c r="W197" s="205"/>
      <c r="X197" s="205"/>
      <c r="Y197" s="206"/>
      <c r="Z197" s="206"/>
      <c r="AA197" s="774">
        <f t="shared" ref="AA197:AG197" si="537">AA169+AA171+AA175+AA179+AA183+AA187+AA189+AA192</f>
        <v>0</v>
      </c>
      <c r="AB197" s="774">
        <f t="shared" si="537"/>
        <v>19</v>
      </c>
      <c r="AD197" s="208">
        <f t="shared" si="537"/>
        <v>0.15</v>
      </c>
      <c r="AE197" s="208">
        <f t="shared" si="537"/>
        <v>0</v>
      </c>
      <c r="AF197" s="208">
        <f t="shared" si="537"/>
        <v>0</v>
      </c>
      <c r="AG197" s="208">
        <f t="shared" si="537"/>
        <v>0</v>
      </c>
      <c r="AI197" s="78">
        <f t="shared" ref="AI197:AK197" si="538">AI169+AI171+AI175+AI179+AI183+AI187+AI189+AI192</f>
        <v>0</v>
      </c>
      <c r="AJ197" s="78">
        <f t="shared" si="538"/>
        <v>0</v>
      </c>
      <c r="AK197" s="78">
        <f t="shared" si="538"/>
        <v>0</v>
      </c>
      <c r="AM197" s="139"/>
      <c r="AN197" s="139"/>
      <c r="AO197" s="139"/>
      <c r="AP197" s="139"/>
      <c r="AQ197" s="139"/>
      <c r="AR197" s="139"/>
      <c r="AS197" s="139"/>
      <c r="AT197" s="139"/>
      <c r="AU197" s="139"/>
      <c r="AV197" s="139"/>
      <c r="AW197" s="139"/>
      <c r="AY197" s="97"/>
      <c r="AZ197" s="209"/>
      <c r="BA197" s="97"/>
      <c r="BB197" s="97"/>
      <c r="BC197" s="97"/>
      <c r="BW197" s="202"/>
      <c r="BX197" s="202" t="str">
        <f>IFERROR(VLOOKUP($E197,'Pre-Assessment Estimator'!$E$11:$AB$228,'Pre-Assessment Estimator'!AB$2,FALSE),"")</f>
        <v/>
      </c>
      <c r="BY197" s="202" t="str">
        <f>IFERROR(VLOOKUP($E197,'Pre-Assessment Estimator'!$E$11:$AI$228,'Pre-Assessment Estimator'!AI$2,FALSE),"")</f>
        <v/>
      </c>
      <c r="BZ197" s="202" t="str">
        <f t="shared" ref="BZ197:CA199" si="539">IFERROR(VLOOKUP($BX197,$E$294:$H$327,F$292,FALSE),"")</f>
        <v/>
      </c>
      <c r="CA197" s="202" t="str">
        <f t="shared" si="539"/>
        <v/>
      </c>
      <c r="CB197" s="202"/>
      <c r="CC197" s="96" t="str">
        <f>IFERROR(VLOOKUP($BX197,$E$294:$H$327,I$292,FALSE),"")</f>
        <v/>
      </c>
    </row>
    <row r="198" spans="1:85" ht="15.75" thickBot="1" x14ac:dyDescent="0.3">
      <c r="A198" s="96">
        <v>190</v>
      </c>
      <c r="AI198" s="3"/>
      <c r="AJ198" s="3"/>
      <c r="AK198" s="3"/>
      <c r="AM198" s="139"/>
      <c r="AN198" s="139"/>
      <c r="AO198" s="139"/>
      <c r="AP198" s="139"/>
      <c r="AQ198" s="139"/>
      <c r="AR198" s="139"/>
      <c r="AS198" s="139"/>
      <c r="AT198" s="139"/>
      <c r="AU198" s="139"/>
      <c r="AV198" s="139"/>
      <c r="AW198" s="139"/>
      <c r="AY198" s="97"/>
      <c r="AZ198" s="97"/>
      <c r="BA198" s="97"/>
      <c r="BB198" s="97"/>
      <c r="BC198" s="97"/>
      <c r="BX198" s="96" t="str">
        <f>IFERROR(VLOOKUP($E198,'Pre-Assessment Estimator'!$E$11:$AB$228,'Pre-Assessment Estimator'!AB$2,FALSE),"")</f>
        <v/>
      </c>
      <c r="BY198" s="96" t="str">
        <f>IFERROR(VLOOKUP($E198,'Pre-Assessment Estimator'!$E$11:$AI$228,'Pre-Assessment Estimator'!AI$2,FALSE),"")</f>
        <v/>
      </c>
      <c r="BZ198" s="96" t="str">
        <f t="shared" si="539"/>
        <v/>
      </c>
      <c r="CA198" s="96" t="str">
        <f t="shared" si="539"/>
        <v/>
      </c>
      <c r="CC198" s="96" t="str">
        <f>IFERROR(VLOOKUP($BX198,$E$294:$H$327,I$292,FALSE),"")</f>
        <v/>
      </c>
    </row>
    <row r="199" spans="1:85" ht="60.75" thickBot="1" x14ac:dyDescent="0.3">
      <c r="A199" s="96">
        <v>191</v>
      </c>
      <c r="D199" s="151"/>
      <c r="E199" s="152" t="s">
        <v>70</v>
      </c>
      <c r="F199" s="1241" t="str">
        <f>$F$9</f>
        <v>Office</v>
      </c>
      <c r="G199" s="1241" t="str">
        <f>$G$9</f>
        <v>Retail</v>
      </c>
      <c r="H199" s="1245" t="str">
        <f>$H$9</f>
        <v>Residential</v>
      </c>
      <c r="I199" s="1241" t="str">
        <f>$I$9</f>
        <v>Industrial</v>
      </c>
      <c r="J199" s="1243" t="str">
        <f>$J$9</f>
        <v>Healthcare</v>
      </c>
      <c r="K199" s="1243" t="str">
        <f>$K$9</f>
        <v>Prison</v>
      </c>
      <c r="L199" s="1243" t="str">
        <f>$L$9</f>
        <v>Law Court</v>
      </c>
      <c r="M199" s="1247" t="str">
        <f>$M$9</f>
        <v>Residential institution (long term stay)</v>
      </c>
      <c r="N199" s="918" t="str">
        <f>$N$9</f>
        <v>Residential institution (short term stay)</v>
      </c>
      <c r="O199" s="918" t="str">
        <f>$O$9</f>
        <v>Non-residential institution</v>
      </c>
      <c r="P199" s="918" t="str">
        <f>$P$9</f>
        <v>Assembly and leisure</v>
      </c>
      <c r="Q199" s="1243" t="str">
        <f>$Q$9</f>
        <v>Education</v>
      </c>
      <c r="R199" s="857" t="str">
        <f>$R$9</f>
        <v>Other</v>
      </c>
      <c r="T199" s="138" t="str">
        <f>$E$6</f>
        <v>Office</v>
      </c>
      <c r="U199" s="210"/>
      <c r="V199" s="211"/>
      <c r="W199" s="1105"/>
      <c r="X199" s="211"/>
      <c r="Y199" s="1165" t="s">
        <v>411</v>
      </c>
      <c r="Z199" s="347" t="s">
        <v>334</v>
      </c>
      <c r="AA199" s="150" t="s">
        <v>213</v>
      </c>
      <c r="AB199" s="59" t="s">
        <v>15</v>
      </c>
      <c r="AI199" s="42"/>
      <c r="AJ199" s="60"/>
      <c r="AK199" s="60"/>
      <c r="AM199" s="139"/>
      <c r="AN199" s="139"/>
      <c r="AO199" s="139"/>
      <c r="AP199" s="139"/>
      <c r="AQ199" s="139"/>
      <c r="AR199" s="139"/>
      <c r="AS199" s="139"/>
      <c r="AT199" s="139"/>
      <c r="AU199" s="139"/>
      <c r="AV199" s="139"/>
      <c r="AW199" s="139"/>
      <c r="AY199" s="97"/>
      <c r="AZ199" s="97"/>
      <c r="BA199" s="97"/>
      <c r="BB199" s="97"/>
      <c r="BC199" s="97"/>
      <c r="BO199" s="60"/>
      <c r="BP199" s="60"/>
      <c r="BQ199" s="60"/>
      <c r="BR199" s="60"/>
      <c r="BS199" s="60"/>
      <c r="BT199" s="60"/>
      <c r="BW199" s="146"/>
      <c r="BX199" s="146" t="str">
        <f>E199</f>
        <v>Pollution</v>
      </c>
      <c r="BY199" s="146">
        <f>IFERROR(VLOOKUP($E199,'Pre-Assessment Estimator'!$E$11:$AI$228,'Pre-Assessment Estimator'!AI$2,FALSE),"")</f>
        <v>0</v>
      </c>
      <c r="BZ199" s="146" t="str">
        <f t="shared" si="539"/>
        <v/>
      </c>
      <c r="CA199" s="146" t="str">
        <f t="shared" si="539"/>
        <v/>
      </c>
      <c r="CB199" s="146"/>
      <c r="CC199" s="96" t="str">
        <f>IFERROR(VLOOKUP($BX199,$E$294:$H$327,I$292,FALSE),"")</f>
        <v/>
      </c>
    </row>
    <row r="200" spans="1:85" x14ac:dyDescent="0.25">
      <c r="A200" s="96">
        <v>192</v>
      </c>
      <c r="B200" s="137" t="str">
        <f>D200</f>
        <v>POL 01</v>
      </c>
      <c r="C200" s="137" t="str">
        <f>B200</f>
        <v>POL 01</v>
      </c>
      <c r="D200" s="858" t="s">
        <v>184</v>
      </c>
      <c r="E200" s="859" t="s">
        <v>163</v>
      </c>
      <c r="F200" s="951">
        <v>3</v>
      </c>
      <c r="G200" s="951">
        <v>3</v>
      </c>
      <c r="H200" s="951">
        <v>3</v>
      </c>
      <c r="I200" s="951">
        <v>3</v>
      </c>
      <c r="J200" s="951">
        <v>3</v>
      </c>
      <c r="K200" s="951">
        <v>3</v>
      </c>
      <c r="L200" s="951">
        <v>3</v>
      </c>
      <c r="M200" s="951">
        <v>3</v>
      </c>
      <c r="N200" s="951">
        <v>3</v>
      </c>
      <c r="O200" s="951">
        <v>3</v>
      </c>
      <c r="P200" s="951">
        <v>3</v>
      </c>
      <c r="Q200" s="951">
        <v>3</v>
      </c>
      <c r="R200" s="951">
        <v>3</v>
      </c>
      <c r="T200" s="961">
        <f t="shared" ref="T200:T206" si="540">HLOOKUP($E$6,$F$9:$R$231,$A200,FALSE)</f>
        <v>3</v>
      </c>
      <c r="U200" s="222"/>
      <c r="V200" s="1098"/>
      <c r="W200" s="150" t="s">
        <v>389</v>
      </c>
      <c r="X200" s="1099">
        <f>'Manuell filtrering og justering'!E86</f>
        <v>0</v>
      </c>
      <c r="Y200" s="1159"/>
      <c r="Z200" s="980">
        <f>SUM(AB201:AB203)</f>
        <v>3</v>
      </c>
      <c r="AA200" s="963">
        <f t="shared" ref="AA200:AA206" si="541">IF(SUM(U200:Y200)&gt;T200,T200,SUM(U200:Y200))</f>
        <v>0</v>
      </c>
      <c r="AB200" s="1066">
        <f>SUM(AB201:AB203)</f>
        <v>3</v>
      </c>
      <c r="AD200" s="171">
        <f t="shared" ref="AD200:AD213" si="542">(Pol_Weight/Pol_Credits)*AB200</f>
        <v>1.7142857142857144E-2</v>
      </c>
      <c r="AE200" s="921">
        <f>IF(SUM(AE201:AE203)&gt;$AD$200,$AD$200,SUM(AE201:AE203))</f>
        <v>0</v>
      </c>
      <c r="AF200" s="921">
        <f>IF(SUM(AF201:AF203)&gt;$AD$200,$AD$200,SUM(AF201:AF203))</f>
        <v>0</v>
      </c>
      <c r="AG200" s="921">
        <f>IF(SUM(AG201:AG203)&gt;$AD$200,$AD$200,SUM(AG201:AG203))</f>
        <v>0</v>
      </c>
      <c r="AI200" s="958">
        <f>IF(SUM(AI201:AI203)&gt;Pol01_credits,Pol01_credits,SUM(AI201:AI203))</f>
        <v>0</v>
      </c>
      <c r="AJ200" s="958">
        <f>IF(SUM(AJ201:AJ203)&gt;Pol01_credits,Pol01_credits,SUM(AJ201:AJ203))</f>
        <v>0</v>
      </c>
      <c r="AK200" s="958">
        <f>IF(SUM(AK201:AK203)&gt;Pol01_credits,Pol01_credits,SUM(AK201:AK203))</f>
        <v>0</v>
      </c>
      <c r="AL200" s="96" t="s">
        <v>425</v>
      </c>
      <c r="AM200" s="298"/>
      <c r="AN200" s="299"/>
      <c r="AO200" s="299"/>
      <c r="AP200" s="299"/>
      <c r="AQ200" s="300"/>
      <c r="AR200" s="139"/>
      <c r="AS200" s="298"/>
      <c r="AT200" s="299"/>
      <c r="AU200" s="299"/>
      <c r="AV200" s="299"/>
      <c r="AW200" s="300"/>
      <c r="AY200" s="218"/>
      <c r="AZ200" s="219"/>
      <c r="BA200" s="219"/>
      <c r="BB200" s="219"/>
      <c r="BC200" s="220">
        <f t="shared" ref="BC200:BC223" si="543">IF($E$6=$H$9,AW200,AQ200)</f>
        <v>0</v>
      </c>
      <c r="BD200" s="174">
        <f t="shared" si="464"/>
        <v>9</v>
      </c>
      <c r="BE200" s="164" t="str">
        <f t="shared" ref="BE200:BE213" si="544">VLOOKUP(BD200,$BO$285:$BT$291,6,FALSE)</f>
        <v>N/A</v>
      </c>
      <c r="BF200" s="178"/>
      <c r="BG200" s="174">
        <f>IF(BC200=0,9,IF(AJ200&gt;=BC200,5,IF(AJ200&gt;=BB200,4,IF(AJ200&gt;=BA200,3,IF(AJ200&gt;=AZ200,2,IF(AJ200&lt;AY200,0,1))))))</f>
        <v>9</v>
      </c>
      <c r="BH200" s="164" t="str">
        <f t="shared" ref="BH200:BH213" si="545">VLOOKUP(BG200,$BO$285:$BT$291,6,FALSE)</f>
        <v>N/A</v>
      </c>
      <c r="BI200" s="178"/>
      <c r="BJ200" s="174">
        <f t="shared" si="447"/>
        <v>9</v>
      </c>
      <c r="BK200" s="164" t="str">
        <f t="shared" ref="BK200:BK213" si="546">VLOOKUP(BJ200,$BO$285:$BT$291,6,FALSE)</f>
        <v>N/A</v>
      </c>
      <c r="BL200" s="178"/>
      <c r="BO200" s="167"/>
      <c r="BP200" s="167"/>
      <c r="BQ200" s="167" t="str">
        <f t="shared" si="342"/>
        <v/>
      </c>
      <c r="BR200" s="167">
        <f t="shared" si="399"/>
        <v>9</v>
      </c>
      <c r="BS200" s="167">
        <f t="shared" si="400"/>
        <v>9</v>
      </c>
      <c r="BT200" s="167">
        <f t="shared" si="401"/>
        <v>9</v>
      </c>
      <c r="BW200" s="164" t="str">
        <f>D200</f>
        <v>POL 01</v>
      </c>
      <c r="BX200" s="164" t="str">
        <f>IFERROR(VLOOKUP($E200,'Pre-Assessment Estimator'!$E$11:$AB$228,'Pre-Assessment Estimator'!AB$2,FALSE),"")</f>
        <v>No</v>
      </c>
      <c r="BY200" s="674" t="str">
        <f>IFERROR(VLOOKUP($E200,'Pre-Assessment Estimator'!$E$11:$AI$228,'Pre-Assessment Estimator'!AI$2,FALSE),"")</f>
        <v>Ja</v>
      </c>
      <c r="BZ200" s="164">
        <f>IFERROR(VLOOKUP($BX200,$E$294:$H$327,F$292,FALSE),"")</f>
        <v>1</v>
      </c>
      <c r="CA200" s="680" t="s">
        <v>430</v>
      </c>
      <c r="CB200" s="164"/>
      <c r="CC200" s="96" t="str">
        <f>IFERROR(VLOOKUP($BX200,$E$294:$H$327,I$292,FALSE),"")</f>
        <v/>
      </c>
      <c r="CD200" s="96" t="s">
        <v>436</v>
      </c>
      <c r="CE200" s="167">
        <f>VLOOKUP(CA200,$CA$4:$CB$5,2,FALSE)</f>
        <v>1</v>
      </c>
      <c r="CG200" s="681">
        <f>IF($BX$5=ais_nei,CE200,IF(AND(CA200=$CA$4,BX200=$CC$4),0,BZ200))</f>
        <v>1</v>
      </c>
    </row>
    <row r="201" spans="1:85" x14ac:dyDescent="0.25">
      <c r="A201" s="96">
        <v>193</v>
      </c>
      <c r="B201" s="96" t="str">
        <f t="shared" ref="B201:B203" si="547">$D$200&amp;D201</f>
        <v>POL 01a</v>
      </c>
      <c r="C201" s="96" t="str">
        <f t="shared" si="344"/>
        <v>POL 01</v>
      </c>
      <c r="D201" s="166" t="s">
        <v>692</v>
      </c>
      <c r="E201" s="917" t="s">
        <v>898</v>
      </c>
      <c r="F201" s="775">
        <v>3</v>
      </c>
      <c r="G201" s="775">
        <v>3</v>
      </c>
      <c r="H201" s="775">
        <v>3</v>
      </c>
      <c r="I201" s="775">
        <v>3</v>
      </c>
      <c r="J201" s="775">
        <v>3</v>
      </c>
      <c r="K201" s="775">
        <v>3</v>
      </c>
      <c r="L201" s="775">
        <v>3</v>
      </c>
      <c r="M201" s="775">
        <v>3</v>
      </c>
      <c r="N201" s="775">
        <v>3</v>
      </c>
      <c r="O201" s="775">
        <v>3</v>
      </c>
      <c r="P201" s="775">
        <v>3</v>
      </c>
      <c r="Q201" s="775">
        <v>3</v>
      </c>
      <c r="R201" s="775">
        <v>3</v>
      </c>
      <c r="T201" s="221">
        <f t="shared" si="540"/>
        <v>3</v>
      </c>
      <c r="U201" s="222">
        <f>IF('Assessment Details'!F24=AD_Yes,Poeng!T201,0)</f>
        <v>0</v>
      </c>
      <c r="V201" s="190"/>
      <c r="W201" s="963">
        <f>IF('Assessment Details'!F24=AD_Yes,Poeng!Z201,0)</f>
        <v>0</v>
      </c>
      <c r="X201" s="239"/>
      <c r="Y201" s="169">
        <f>IF($Y$4=$Y$6,T201,0)</f>
        <v>0</v>
      </c>
      <c r="Z201" s="168">
        <f>VLOOKUP(B201,'Manuell filtrering og justering'!$A$7:$H$253,'Manuell filtrering og justering'!$H$1,FALSE)</f>
        <v>3</v>
      </c>
      <c r="AA201" s="169">
        <f t="shared" si="541"/>
        <v>0</v>
      </c>
      <c r="AB201" s="1036">
        <f>IF($AC$5='Manuell filtrering og justering'!$J$2,Z201-W201,(T201-AA201))</f>
        <v>3</v>
      </c>
      <c r="AD201" s="171">
        <f t="shared" si="542"/>
        <v>1.7142857142857144E-2</v>
      </c>
      <c r="AE201" s="171">
        <f t="shared" ref="AE201:AE213" si="548">IF(AB201=0,0,(AD201/AB201)*AI201)</f>
        <v>0</v>
      </c>
      <c r="AF201" s="171">
        <f t="shared" ref="AF201:AF213" si="549">IF(AB201=0,0,(AD201/AB201)*AJ201)</f>
        <v>0</v>
      </c>
      <c r="AG201" s="171">
        <f t="shared" ref="AG201:AG213" si="550">IF(AB201=0,0,(AD201/AB201)*AK201)</f>
        <v>0</v>
      </c>
      <c r="AI201" s="172">
        <f>IF(VLOOKUP(E201,'Pre-Assessment Estimator'!$E$11:$Z$228,'Pre-Assessment Estimator'!$G$2,FALSE)&gt;AB201,AB201,VLOOKUP(E201,'Pre-Assessment Estimator'!$E$11:$Z$228,'Pre-Assessment Estimator'!$G$2,FALSE))</f>
        <v>0</v>
      </c>
      <c r="AJ201" s="172">
        <f>IF(VLOOKUP(E201,'Pre-Assessment Estimator'!$E$11:$Z$228,'Pre-Assessment Estimator'!$N$2,FALSE)&gt;AB201,AB201,VLOOKUP(E201,'Pre-Assessment Estimator'!$E$11:$Z$228,'Pre-Assessment Estimator'!$N$2,FALSE))</f>
        <v>0</v>
      </c>
      <c r="AK201" s="172">
        <f>IF(VLOOKUP(E201,'Pre-Assessment Estimator'!$E$11:$Z$228,'Pre-Assessment Estimator'!$U$2,FALSE)&gt;AB201,AB201,VLOOKUP(E201,'Pre-Assessment Estimator'!$E$11:$Z$228,'Pre-Assessment Estimator'!$U$2,FALSE))</f>
        <v>0</v>
      </c>
      <c r="AM201" s="835"/>
      <c r="AN201" s="836"/>
      <c r="AO201" s="836"/>
      <c r="AP201" s="836"/>
      <c r="AQ201" s="837"/>
      <c r="AR201" s="139"/>
      <c r="AS201" s="835"/>
      <c r="AT201" s="836"/>
      <c r="AU201" s="836"/>
      <c r="AV201" s="836"/>
      <c r="AW201" s="837"/>
      <c r="AY201" s="708"/>
      <c r="AZ201" s="709"/>
      <c r="BA201" s="709"/>
      <c r="BB201" s="709"/>
      <c r="BC201" s="838"/>
      <c r="BD201" s="182">
        <f t="shared" ref="BD201:BD203" si="551">IF(BC201=0,9,IF(AI201&gt;=BC201,5,IF(AI201&gt;=BB201,4,IF(AI201&gt;=BA201,3,IF(AI201&gt;=AZ201,2,IF(AI201&lt;AY201,0,1))))))</f>
        <v>9</v>
      </c>
      <c r="BE201" s="164" t="str">
        <f t="shared" si="544"/>
        <v>N/A</v>
      </c>
      <c r="BF201" s="185"/>
      <c r="BG201" s="182">
        <f t="shared" ref="BG201:BG203" si="552">IF(BC201=0,9,IF(AJ201&gt;=BC201,5,IF(AJ201&gt;=BB201,4,IF(AJ201&gt;=BA201,3,IF(AJ201&gt;=AZ201,2,IF(AJ201&lt;AY201,0,1))))))</f>
        <v>9</v>
      </c>
      <c r="BH201" s="164" t="str">
        <f t="shared" si="545"/>
        <v>N/A</v>
      </c>
      <c r="BI201" s="185"/>
      <c r="BJ201" s="182">
        <f t="shared" ref="BJ201:BJ203" si="553">IF(BC201=0,9,IF(AK201&gt;=BC201,5,IF(AK201&gt;=BB201,4,IF(AK201&gt;=BA201,3,IF(AK201&gt;=AZ201,2,IF(AK201&lt;AY201,0,1))))))</f>
        <v>9</v>
      </c>
      <c r="BK201" s="164" t="str">
        <f t="shared" si="546"/>
        <v>N/A</v>
      </c>
      <c r="BL201" s="830"/>
      <c r="BO201" s="167"/>
      <c r="BP201" s="167"/>
      <c r="BQ201" s="167" t="str">
        <f t="shared" si="342"/>
        <v/>
      </c>
      <c r="BR201" s="167">
        <f t="shared" si="399"/>
        <v>9</v>
      </c>
      <c r="BS201" s="167">
        <f t="shared" si="400"/>
        <v>9</v>
      </c>
      <c r="BT201" s="167">
        <f t="shared" si="401"/>
        <v>9</v>
      </c>
      <c r="BW201" s="164"/>
      <c r="BX201" s="164"/>
      <c r="BY201" s="674"/>
      <c r="BZ201" s="164"/>
      <c r="CA201" s="680"/>
      <c r="CB201" s="164"/>
      <c r="CE201" s="167"/>
      <c r="CG201" s="681"/>
    </row>
    <row r="202" spans="1:85" x14ac:dyDescent="0.25">
      <c r="A202" s="96">
        <v>194</v>
      </c>
      <c r="B202" s="96" t="str">
        <f t="shared" si="547"/>
        <v>POL 01c</v>
      </c>
      <c r="C202" s="96" t="str">
        <f t="shared" si="344"/>
        <v>POL 01</v>
      </c>
      <c r="D202" s="166" t="s">
        <v>696</v>
      </c>
      <c r="E202" s="917" t="s">
        <v>381</v>
      </c>
      <c r="F202" s="775">
        <v>2</v>
      </c>
      <c r="G202" s="775">
        <v>2</v>
      </c>
      <c r="H202" s="775">
        <v>2</v>
      </c>
      <c r="I202" s="775">
        <v>2</v>
      </c>
      <c r="J202" s="775">
        <v>2</v>
      </c>
      <c r="K202" s="775">
        <v>2</v>
      </c>
      <c r="L202" s="775">
        <v>2</v>
      </c>
      <c r="M202" s="775">
        <v>2</v>
      </c>
      <c r="N202" s="775">
        <v>2</v>
      </c>
      <c r="O202" s="775">
        <v>2</v>
      </c>
      <c r="P202" s="775">
        <v>2</v>
      </c>
      <c r="Q202" s="775">
        <v>2</v>
      </c>
      <c r="R202" s="775">
        <v>2</v>
      </c>
      <c r="T202" s="221">
        <f t="shared" si="540"/>
        <v>2</v>
      </c>
      <c r="U202" s="222">
        <f>IF(U201&gt;0,0,T202)</f>
        <v>2</v>
      </c>
      <c r="V202" s="190"/>
      <c r="W202" s="963">
        <f>IF(W201&gt;0,0,Z202)</f>
        <v>2</v>
      </c>
      <c r="X202" s="239"/>
      <c r="Y202" s="169">
        <f>IF($Y$4=$Y$6,T202,0)</f>
        <v>0</v>
      </c>
      <c r="Z202" s="168">
        <f>VLOOKUP(B202,'Manuell filtrering og justering'!$A$7:$H$253,'Manuell filtrering og justering'!$H$1,FALSE)</f>
        <v>2</v>
      </c>
      <c r="AA202" s="169">
        <f t="shared" si="541"/>
        <v>2</v>
      </c>
      <c r="AB202" s="1036">
        <f>IF($AC$5='Manuell filtrering og justering'!$J$2,Z202-W202,(T202-AA202))</f>
        <v>0</v>
      </c>
      <c r="AD202" s="171">
        <f t="shared" si="542"/>
        <v>0</v>
      </c>
      <c r="AE202" s="171">
        <f t="shared" si="548"/>
        <v>0</v>
      </c>
      <c r="AF202" s="171">
        <f t="shared" si="549"/>
        <v>0</v>
      </c>
      <c r="AG202" s="171">
        <f t="shared" si="550"/>
        <v>0</v>
      </c>
      <c r="AI202" s="1067">
        <f>IF(AI249=AD_no,0,IF(VLOOKUP(E202,'Pre-Assessment Estimator'!$E$11:$Z$228,'Pre-Assessment Estimator'!$G$2,FALSE)&gt;AB202,AB202,VLOOKUP(E202,'Pre-Assessment Estimator'!$E$11:$Z$228,'Pre-Assessment Estimator'!$G$2,FALSE)))</f>
        <v>0</v>
      </c>
      <c r="AJ202" s="1067">
        <f>IF(AJ249=AD_no,0,IF(VLOOKUP(E202,'Pre-Assessment Estimator'!$E$11:$Z$228,'Pre-Assessment Estimator'!$N$2,FALSE)&gt;AB202,AB202,VLOOKUP(E202,'Pre-Assessment Estimator'!$E$11:$Z$228,'Pre-Assessment Estimator'!$N$2,FALSE)))</f>
        <v>0</v>
      </c>
      <c r="AK202" s="1067">
        <f>IF(AK249=AD_no,0,IF(VLOOKUP(E202,'Pre-Assessment Estimator'!$E$11:$Z$228,'Pre-Assessment Estimator'!$U$2,FALSE)&gt;AB202,AB202,VLOOKUP(E202,'Pre-Assessment Estimator'!$E$11:$Z$228,'Pre-Assessment Estimator'!$U$2,FALSE)))</f>
        <v>0</v>
      </c>
      <c r="AM202" s="835"/>
      <c r="AN202" s="836"/>
      <c r="AO202" s="836"/>
      <c r="AP202" s="836"/>
      <c r="AQ202" s="837"/>
      <c r="AR202" s="139"/>
      <c r="AS202" s="835"/>
      <c r="AT202" s="836"/>
      <c r="AU202" s="836"/>
      <c r="AV202" s="836"/>
      <c r="AW202" s="837"/>
      <c r="AY202" s="708"/>
      <c r="AZ202" s="709"/>
      <c r="BA202" s="709"/>
      <c r="BB202" s="709"/>
      <c r="BC202" s="838"/>
      <c r="BD202" s="182">
        <f t="shared" si="551"/>
        <v>9</v>
      </c>
      <c r="BE202" s="164" t="str">
        <f t="shared" si="544"/>
        <v>N/A</v>
      </c>
      <c r="BF202" s="185"/>
      <c r="BG202" s="182">
        <f t="shared" si="552"/>
        <v>9</v>
      </c>
      <c r="BH202" s="164" t="str">
        <f t="shared" si="545"/>
        <v>N/A</v>
      </c>
      <c r="BI202" s="185"/>
      <c r="BJ202" s="182">
        <f t="shared" si="553"/>
        <v>9</v>
      </c>
      <c r="BK202" s="164" t="str">
        <f t="shared" si="546"/>
        <v>N/A</v>
      </c>
      <c r="BL202" s="830"/>
      <c r="BO202" s="167"/>
      <c r="BP202" s="167"/>
      <c r="BQ202" s="167" t="str">
        <f t="shared" si="342"/>
        <v/>
      </c>
      <c r="BR202" s="167">
        <f t="shared" si="399"/>
        <v>9</v>
      </c>
      <c r="BS202" s="167">
        <f t="shared" si="400"/>
        <v>9</v>
      </c>
      <c r="BT202" s="167">
        <f t="shared" si="401"/>
        <v>9</v>
      </c>
      <c r="BW202" s="164"/>
      <c r="BX202" s="164"/>
      <c r="BY202" s="674"/>
      <c r="BZ202" s="164"/>
      <c r="CA202" s="680"/>
      <c r="CB202" s="164"/>
      <c r="CE202" s="167"/>
      <c r="CG202" s="681"/>
    </row>
    <row r="203" spans="1:85" x14ac:dyDescent="0.25">
      <c r="A203" s="96">
        <v>195</v>
      </c>
      <c r="B203" s="96" t="str">
        <f t="shared" si="547"/>
        <v>POL 01d</v>
      </c>
      <c r="C203" s="96" t="str">
        <f t="shared" si="344"/>
        <v>POL 01</v>
      </c>
      <c r="D203" s="166" t="s">
        <v>694</v>
      </c>
      <c r="E203" s="917" t="s">
        <v>899</v>
      </c>
      <c r="F203" s="775">
        <v>1</v>
      </c>
      <c r="G203" s="775">
        <v>1</v>
      </c>
      <c r="H203" s="775">
        <v>1</v>
      </c>
      <c r="I203" s="775">
        <v>1</v>
      </c>
      <c r="J203" s="775">
        <v>1</v>
      </c>
      <c r="K203" s="775">
        <v>1</v>
      </c>
      <c r="L203" s="775">
        <v>1</v>
      </c>
      <c r="M203" s="775">
        <v>1</v>
      </c>
      <c r="N203" s="775">
        <v>1</v>
      </c>
      <c r="O203" s="775">
        <v>1</v>
      </c>
      <c r="P203" s="775">
        <v>1</v>
      </c>
      <c r="Q203" s="775">
        <v>1</v>
      </c>
      <c r="R203" s="775">
        <v>1</v>
      </c>
      <c r="T203" s="221">
        <f t="shared" si="540"/>
        <v>1</v>
      </c>
      <c r="U203" s="222">
        <f>IF(U201&gt;0,0,T203)</f>
        <v>1</v>
      </c>
      <c r="V203" s="190"/>
      <c r="W203" s="963">
        <f>IF(W201&gt;0,0,Z203)</f>
        <v>1</v>
      </c>
      <c r="X203" s="239"/>
      <c r="Y203" s="169">
        <f>IF($Y$4=$Y$6,T203,0)</f>
        <v>0</v>
      </c>
      <c r="Z203" s="168">
        <f>VLOOKUP(B203,'Manuell filtrering og justering'!$A$7:$H$253,'Manuell filtrering og justering'!$H$1,FALSE)</f>
        <v>1</v>
      </c>
      <c r="AA203" s="169">
        <f t="shared" si="541"/>
        <v>1</v>
      </c>
      <c r="AB203" s="1036">
        <f>IF($AC$5='Manuell filtrering og justering'!$J$2,Z203-W203,(T203-AA203))</f>
        <v>0</v>
      </c>
      <c r="AD203" s="171">
        <f t="shared" si="542"/>
        <v>0</v>
      </c>
      <c r="AE203" s="171">
        <f t="shared" si="548"/>
        <v>0</v>
      </c>
      <c r="AF203" s="171">
        <f t="shared" si="549"/>
        <v>0</v>
      </c>
      <c r="AG203" s="171">
        <f t="shared" si="550"/>
        <v>0</v>
      </c>
      <c r="AI203" s="1067">
        <f>IF(AI249=AD_no,0,IF(VLOOKUP(E203,'Pre-Assessment Estimator'!$E$11:$Z$228,'Pre-Assessment Estimator'!$G$2,FALSE)&gt;AB203,AB203,VLOOKUP(E203,'Pre-Assessment Estimator'!$E$11:$Z$228,'Pre-Assessment Estimator'!$G$2,FALSE)))</f>
        <v>0</v>
      </c>
      <c r="AJ203" s="1067">
        <f>IF(AJ249=AD_no,0,IF(VLOOKUP(E203,'Pre-Assessment Estimator'!$E$11:$Z$228,'Pre-Assessment Estimator'!$N$2,FALSE)&gt;AB203,AB203,VLOOKUP(E203,'Pre-Assessment Estimator'!$E$11:$Z$228,'Pre-Assessment Estimator'!$N$2,FALSE)))</f>
        <v>0</v>
      </c>
      <c r="AK203" s="1067">
        <f>IF(AK249=AD_no,0,IF(VLOOKUP(E203,'Pre-Assessment Estimator'!$E$11:$Z$228,'Pre-Assessment Estimator'!$U$2,FALSE)&gt;AB203,AB203,VLOOKUP(E203,'Pre-Assessment Estimator'!$E$11:$Z$228,'Pre-Assessment Estimator'!$U$2,FALSE)))</f>
        <v>0</v>
      </c>
      <c r="AM203" s="835"/>
      <c r="AN203" s="836"/>
      <c r="AO203" s="836"/>
      <c r="AP203" s="836"/>
      <c r="AQ203" s="837"/>
      <c r="AR203" s="139"/>
      <c r="AS203" s="835"/>
      <c r="AT203" s="836"/>
      <c r="AU203" s="836"/>
      <c r="AV203" s="836"/>
      <c r="AW203" s="837"/>
      <c r="AY203" s="708"/>
      <c r="AZ203" s="709"/>
      <c r="BA203" s="709"/>
      <c r="BB203" s="709"/>
      <c r="BC203" s="838"/>
      <c r="BD203" s="182">
        <f t="shared" si="551"/>
        <v>9</v>
      </c>
      <c r="BE203" s="164" t="str">
        <f t="shared" si="544"/>
        <v>N/A</v>
      </c>
      <c r="BF203" s="185"/>
      <c r="BG203" s="182">
        <f t="shared" si="552"/>
        <v>9</v>
      </c>
      <c r="BH203" s="164" t="str">
        <f t="shared" si="545"/>
        <v>N/A</v>
      </c>
      <c r="BI203" s="185"/>
      <c r="BJ203" s="182">
        <f t="shared" si="553"/>
        <v>9</v>
      </c>
      <c r="BK203" s="164" t="str">
        <f t="shared" si="546"/>
        <v>N/A</v>
      </c>
      <c r="BL203" s="830"/>
      <c r="BO203" s="167"/>
      <c r="BP203" s="167"/>
      <c r="BQ203" s="167" t="str">
        <f t="shared" ref="BQ203:BQ251" si="554">IF(BO203&lt;&gt;"",BO203,IF(BP203&lt;&gt;"",BP203,""))</f>
        <v/>
      </c>
      <c r="BR203" s="167">
        <f t="shared" si="399"/>
        <v>9</v>
      </c>
      <c r="BS203" s="167">
        <f t="shared" si="400"/>
        <v>9</v>
      </c>
      <c r="BT203" s="167">
        <f t="shared" si="401"/>
        <v>9</v>
      </c>
      <c r="BW203" s="164"/>
      <c r="BX203" s="164"/>
      <c r="BY203" s="674"/>
      <c r="BZ203" s="164"/>
      <c r="CA203" s="680"/>
      <c r="CB203" s="164"/>
      <c r="CE203" s="167"/>
      <c r="CG203" s="681"/>
    </row>
    <row r="204" spans="1:85" x14ac:dyDescent="0.25">
      <c r="A204" s="96">
        <v>196</v>
      </c>
      <c r="B204" s="137" t="str">
        <f>D204</f>
        <v>POL 02</v>
      </c>
      <c r="C204" s="137" t="str">
        <f>B204</f>
        <v>POL 02</v>
      </c>
      <c r="D204" s="834" t="s">
        <v>185</v>
      </c>
      <c r="E204" s="832" t="s">
        <v>472</v>
      </c>
      <c r="F204" s="951">
        <v>2</v>
      </c>
      <c r="G204" s="951">
        <v>2</v>
      </c>
      <c r="H204" s="951">
        <v>2</v>
      </c>
      <c r="I204" s="951">
        <v>2</v>
      </c>
      <c r="J204" s="951">
        <v>2</v>
      </c>
      <c r="K204" s="951">
        <v>2</v>
      </c>
      <c r="L204" s="951">
        <v>2</v>
      </c>
      <c r="M204" s="951">
        <v>2</v>
      </c>
      <c r="N204" s="951">
        <v>2</v>
      </c>
      <c r="O204" s="951">
        <v>2</v>
      </c>
      <c r="P204" s="951">
        <v>2</v>
      </c>
      <c r="Q204" s="951">
        <v>2</v>
      </c>
      <c r="R204" s="951">
        <v>2</v>
      </c>
      <c r="T204" s="963">
        <f t="shared" si="540"/>
        <v>2</v>
      </c>
      <c r="U204" s="222"/>
      <c r="V204" s="1098"/>
      <c r="W204" s="963"/>
      <c r="X204" s="1099">
        <f>'Manuell filtrering og justering'!E87</f>
        <v>0</v>
      </c>
      <c r="Y204" s="1159"/>
      <c r="Z204" s="980">
        <f>SUM(AB205:AB206)</f>
        <v>2</v>
      </c>
      <c r="AA204" s="963">
        <f t="shared" si="541"/>
        <v>0</v>
      </c>
      <c r="AB204" s="1066">
        <f>SUM(AB205:AB206)</f>
        <v>2</v>
      </c>
      <c r="AD204" s="171">
        <f t="shared" si="542"/>
        <v>1.1428571428571429E-2</v>
      </c>
      <c r="AE204" s="921">
        <f>IF(SUM(AE205:AE206)&gt;$AD$204,$AD$204,SUM(AE205:AE206))</f>
        <v>0</v>
      </c>
      <c r="AF204" s="921">
        <f>IF(SUM(AF205:AF206)&gt;$AD$204,$AD$204,SUM(AF205:AF206))</f>
        <v>0</v>
      </c>
      <c r="AG204" s="921">
        <f>IF(SUM(AG205:AG206)&gt;$AD$204,$AD$204,SUM(AG205:AG206))</f>
        <v>0</v>
      </c>
      <c r="AI204" s="958">
        <f>IF(SUM(AI205:AI206)&gt;Pol02_credits,Pol02_credits,SUM(AI205:AI206))</f>
        <v>0</v>
      </c>
      <c r="AJ204" s="958">
        <f>IF(SUM(AJ205:AJ206)&gt;Pol02_credits,Pol02_credits,SUM(AJ205:AJ206))</f>
        <v>0</v>
      </c>
      <c r="AK204" s="958">
        <f>IF(SUM(AK205:AK206)&gt;Pol02_credits,Pol02_credits,SUM(AK205:AK206))</f>
        <v>0</v>
      </c>
      <c r="AL204" s="96" t="s">
        <v>425</v>
      </c>
      <c r="AM204" s="292"/>
      <c r="AN204" s="293"/>
      <c r="AO204" s="293"/>
      <c r="AP204" s="293"/>
      <c r="AQ204" s="294"/>
      <c r="AR204" s="139"/>
      <c r="AS204" s="292"/>
      <c r="AT204" s="293"/>
      <c r="AU204" s="293"/>
      <c r="AV204" s="293"/>
      <c r="AW204" s="294"/>
      <c r="AY204" s="188"/>
      <c r="AZ204" s="189"/>
      <c r="BA204" s="189"/>
      <c r="BB204" s="189"/>
      <c r="BC204" s="190">
        <f t="shared" si="543"/>
        <v>0</v>
      </c>
      <c r="BD204" s="182">
        <f t="shared" si="464"/>
        <v>9</v>
      </c>
      <c r="BE204" s="164" t="str">
        <f t="shared" si="544"/>
        <v>N/A</v>
      </c>
      <c r="BF204" s="185"/>
      <c r="BG204" s="182">
        <f>IF(BC204=0,9,IF(AJ204&gt;=BC204,5,IF(AJ204&gt;=BB204,4,IF(AJ204&gt;=BA204,3,IF(AJ204&gt;=AZ204,2,IF(AJ204&lt;AY204,0,1))))))</f>
        <v>9</v>
      </c>
      <c r="BH204" s="164" t="str">
        <f t="shared" si="545"/>
        <v>N/A</v>
      </c>
      <c r="BI204" s="185"/>
      <c r="BJ204" s="182">
        <f t="shared" si="447"/>
        <v>9</v>
      </c>
      <c r="BK204" s="164" t="str">
        <f t="shared" si="546"/>
        <v>N/A</v>
      </c>
      <c r="BL204" s="185"/>
      <c r="BO204" s="167"/>
      <c r="BP204" s="167"/>
      <c r="BQ204" s="167" t="str">
        <f t="shared" si="554"/>
        <v/>
      </c>
      <c r="BR204" s="167">
        <f t="shared" si="399"/>
        <v>9</v>
      </c>
      <c r="BS204" s="167">
        <f t="shared" si="400"/>
        <v>9</v>
      </c>
      <c r="BT204" s="167">
        <f t="shared" si="401"/>
        <v>9</v>
      </c>
      <c r="BW204" s="167" t="str">
        <f>D204</f>
        <v>POL 02</v>
      </c>
      <c r="BX204" s="167" t="str">
        <f>IFERROR(VLOOKUP($E204,'Pre-Assessment Estimator'!$E$11:$AB$228,'Pre-Assessment Estimator'!AB$2,FALSE),"")</f>
        <v>No</v>
      </c>
      <c r="BY204" s="230" t="str">
        <f>IFERROR(VLOOKUP($E204,'Pre-Assessment Estimator'!$E$11:$AI$228,'Pre-Assessment Estimator'!AI$2,FALSE),"")</f>
        <v>Ja</v>
      </c>
      <c r="BZ204" s="167">
        <f>IFERROR(VLOOKUP($BX204,$E$294:$H$327,F$292,FALSE),"")</f>
        <v>1</v>
      </c>
      <c r="CA204" s="680" t="s">
        <v>430</v>
      </c>
      <c r="CB204" s="167"/>
      <c r="CC204" s="96" t="str">
        <f>IFERROR(VLOOKUP($BX204,$E$294:$H$327,I$292,FALSE),"")</f>
        <v/>
      </c>
      <c r="CD204" s="96" t="s">
        <v>436</v>
      </c>
      <c r="CE204" s="167">
        <f>VLOOKUP(CA204,$CA$4:$CB$5,2,FALSE)</f>
        <v>1</v>
      </c>
      <c r="CG204" s="681">
        <f>IF($BX$5=ais_nei,CE204,IF(AND(CA204=$CA$4,BX204=$CC$4),0,BZ204))</f>
        <v>1</v>
      </c>
    </row>
    <row r="205" spans="1:85" x14ac:dyDescent="0.25">
      <c r="A205" s="96">
        <v>197</v>
      </c>
      <c r="B205" s="96" t="str">
        <f t="shared" ref="B205:B206" si="555">$D$204&amp;D205</f>
        <v>POL 02a</v>
      </c>
      <c r="C205" s="96" t="str">
        <f t="shared" ref="C205:C213" si="556">C204</f>
        <v>POL 02</v>
      </c>
      <c r="D205" s="166" t="s">
        <v>692</v>
      </c>
      <c r="E205" s="917" t="s">
        <v>961</v>
      </c>
      <c r="F205" s="775">
        <v>2</v>
      </c>
      <c r="G205" s="775">
        <v>2</v>
      </c>
      <c r="H205" s="775">
        <v>2</v>
      </c>
      <c r="I205" s="775">
        <v>2</v>
      </c>
      <c r="J205" s="775">
        <v>2</v>
      </c>
      <c r="K205" s="775">
        <v>2</v>
      </c>
      <c r="L205" s="775">
        <v>2</v>
      </c>
      <c r="M205" s="775">
        <v>2</v>
      </c>
      <c r="N205" s="775">
        <v>2</v>
      </c>
      <c r="O205" s="775">
        <v>2</v>
      </c>
      <c r="P205" s="775">
        <v>2</v>
      </c>
      <c r="Q205" s="775">
        <v>2</v>
      </c>
      <c r="R205" s="775">
        <v>2</v>
      </c>
      <c r="T205" s="221">
        <f t="shared" si="540"/>
        <v>2</v>
      </c>
      <c r="U205" s="1226">
        <f>IF('Assessment Details'!F25='Assessment Details'!J30,0,IF('Assessment Details'!F25="",0,Poeng!T205))</f>
        <v>0</v>
      </c>
      <c r="V205" s="190"/>
      <c r="W205" s="1035">
        <f>IF('Assessment Details'!F25='Assessment Details'!J30,0,IF('Assessment Details'!F25="",0,Poeng!Z205))</f>
        <v>0</v>
      </c>
      <c r="X205" s="239"/>
      <c r="Y205" s="169">
        <f>IF($Y$4=$Y$6,T205,0)</f>
        <v>0</v>
      </c>
      <c r="Z205" s="168">
        <f>VLOOKUP(B205,'Manuell filtrering og justering'!$A$7:$H$253,'Manuell filtrering og justering'!$H$1,FALSE)</f>
        <v>2</v>
      </c>
      <c r="AA205" s="169">
        <f t="shared" si="541"/>
        <v>0</v>
      </c>
      <c r="AB205" s="1036">
        <f>IF($AC$5='Manuell filtrering og justering'!$J$2,Z205-W205,(T205-AA205))</f>
        <v>2</v>
      </c>
      <c r="AD205" s="171">
        <f t="shared" si="542"/>
        <v>1.1428571428571429E-2</v>
      </c>
      <c r="AE205" s="171">
        <f t="shared" si="548"/>
        <v>0</v>
      </c>
      <c r="AF205" s="171">
        <f t="shared" si="549"/>
        <v>0</v>
      </c>
      <c r="AG205" s="171">
        <f t="shared" si="550"/>
        <v>0</v>
      </c>
      <c r="AI205" s="172">
        <f>IF(VLOOKUP(E205,'Pre-Assessment Estimator'!$E$11:$Z$228,'Pre-Assessment Estimator'!$G$2,FALSE)&gt;AB205,AB205,VLOOKUP(E205,'Pre-Assessment Estimator'!$E$11:$Z$228,'Pre-Assessment Estimator'!$G$2,FALSE))</f>
        <v>0</v>
      </c>
      <c r="AJ205" s="172">
        <f>IF(VLOOKUP(E205,'Pre-Assessment Estimator'!$E$11:$Z$228,'Pre-Assessment Estimator'!$N$2,FALSE)&gt;AB205,AB205,VLOOKUP(E205,'Pre-Assessment Estimator'!$E$11:$Z$228,'Pre-Assessment Estimator'!$N$2,FALSE))</f>
        <v>0</v>
      </c>
      <c r="AK205" s="172">
        <f>IF(VLOOKUP(E205,'Pre-Assessment Estimator'!$E$11:$Z$228,'Pre-Assessment Estimator'!$U$2,FALSE)&gt;AB205,AB205,VLOOKUP(E205,'Pre-Assessment Estimator'!$E$11:$Z$228,'Pre-Assessment Estimator'!$U$2,FALSE))</f>
        <v>0</v>
      </c>
      <c r="AM205" s="292"/>
      <c r="AN205" s="293"/>
      <c r="AO205" s="293"/>
      <c r="AP205" s="293"/>
      <c r="AQ205" s="294"/>
      <c r="AR205" s="139"/>
      <c r="AS205" s="292"/>
      <c r="AT205" s="293"/>
      <c r="AU205" s="293"/>
      <c r="AV205" s="293"/>
      <c r="AW205" s="294"/>
      <c r="AY205" s="188"/>
      <c r="AZ205" s="189"/>
      <c r="BA205" s="189"/>
      <c r="BB205" s="189"/>
      <c r="BC205" s="190"/>
      <c r="BD205" s="182">
        <f t="shared" si="464"/>
        <v>9</v>
      </c>
      <c r="BE205" s="164" t="str">
        <f t="shared" si="544"/>
        <v>N/A</v>
      </c>
      <c r="BF205" s="185"/>
      <c r="BG205" s="182">
        <f t="shared" ref="BG205:BG210" si="557">IF(BC205=0,9,IF(AJ205&gt;=BC205,5,IF(AJ205&gt;=BB205,4,IF(AJ205&gt;=BA205,3,IF(AJ205&gt;=AZ205,2,IF(AJ205&lt;AY205,0,1))))))</f>
        <v>9</v>
      </c>
      <c r="BH205" s="164" t="str">
        <f t="shared" si="545"/>
        <v>N/A</v>
      </c>
      <c r="BI205" s="185"/>
      <c r="BJ205" s="182">
        <f t="shared" si="447"/>
        <v>9</v>
      </c>
      <c r="BK205" s="164" t="str">
        <f t="shared" si="546"/>
        <v>N/A</v>
      </c>
      <c r="BL205" s="185"/>
      <c r="BO205" s="167"/>
      <c r="BP205" s="167"/>
      <c r="BQ205" s="167" t="str">
        <f t="shared" si="554"/>
        <v/>
      </c>
      <c r="BR205" s="167">
        <f t="shared" si="399"/>
        <v>9</v>
      </c>
      <c r="BS205" s="167">
        <f t="shared" si="400"/>
        <v>9</v>
      </c>
      <c r="BT205" s="167">
        <f t="shared" si="401"/>
        <v>9</v>
      </c>
      <c r="BW205" s="167"/>
      <c r="BX205" s="167"/>
      <c r="BY205" s="230"/>
      <c r="BZ205" s="167"/>
      <c r="CA205" s="680"/>
      <c r="CB205" s="167"/>
      <c r="CE205" s="99"/>
      <c r="CG205" s="681"/>
    </row>
    <row r="206" spans="1:85" x14ac:dyDescent="0.25">
      <c r="A206" s="96">
        <v>198</v>
      </c>
      <c r="B206" s="96" t="str">
        <f t="shared" si="555"/>
        <v>POL 02b</v>
      </c>
      <c r="C206" s="96" t="str">
        <f t="shared" si="556"/>
        <v>POL 02</v>
      </c>
      <c r="D206" s="166" t="s">
        <v>695</v>
      </c>
      <c r="E206" s="917" t="s">
        <v>962</v>
      </c>
      <c r="F206" s="775">
        <v>2</v>
      </c>
      <c r="G206" s="775">
        <v>2</v>
      </c>
      <c r="H206" s="775">
        <v>2</v>
      </c>
      <c r="I206" s="775">
        <v>2</v>
      </c>
      <c r="J206" s="775">
        <v>2</v>
      </c>
      <c r="K206" s="775">
        <v>2</v>
      </c>
      <c r="L206" s="775">
        <v>2</v>
      </c>
      <c r="M206" s="775">
        <v>2</v>
      </c>
      <c r="N206" s="775">
        <v>2</v>
      </c>
      <c r="O206" s="775">
        <v>2</v>
      </c>
      <c r="P206" s="775">
        <v>2</v>
      </c>
      <c r="Q206" s="775">
        <v>2</v>
      </c>
      <c r="R206" s="775">
        <v>2</v>
      </c>
      <c r="T206" s="221">
        <f t="shared" si="540"/>
        <v>2</v>
      </c>
      <c r="U206" s="222">
        <f>IF('Assessment Details'!F25='Assessment Details'!J31,0,Poeng!T206)</f>
        <v>2</v>
      </c>
      <c r="V206" s="190"/>
      <c r="W206" s="963">
        <f>IF('Assessment Details'!F25='Assessment Details'!J31,0,Poeng!Z206)</f>
        <v>2</v>
      </c>
      <c r="X206" s="239"/>
      <c r="Y206" s="169">
        <f>IF($Y$4=$Y$6,T206,0)</f>
        <v>0</v>
      </c>
      <c r="Z206" s="168">
        <f>VLOOKUP(B206,'Manuell filtrering og justering'!$A$7:$H$253,'Manuell filtrering og justering'!$H$1,FALSE)</f>
        <v>2</v>
      </c>
      <c r="AA206" s="169">
        <f t="shared" si="541"/>
        <v>2</v>
      </c>
      <c r="AB206" s="1036">
        <f>IF($AC$5='Manuell filtrering og justering'!$J$2,Z206-W206,(T206-AA206))</f>
        <v>0</v>
      </c>
      <c r="AD206" s="171">
        <f t="shared" si="542"/>
        <v>0</v>
      </c>
      <c r="AE206" s="171">
        <f t="shared" si="548"/>
        <v>0</v>
      </c>
      <c r="AF206" s="171">
        <f t="shared" si="549"/>
        <v>0</v>
      </c>
      <c r="AG206" s="171">
        <f t="shared" si="550"/>
        <v>0</v>
      </c>
      <c r="AI206" s="172">
        <f>IF(VLOOKUP(E206,'Pre-Assessment Estimator'!$E$11:$Z$228,'Pre-Assessment Estimator'!$G$2,FALSE)&gt;AB206,AB206,VLOOKUP(E206,'Pre-Assessment Estimator'!$E$11:$Z$228,'Pre-Assessment Estimator'!$G$2,FALSE))</f>
        <v>0</v>
      </c>
      <c r="AJ206" s="172">
        <f>IF(VLOOKUP(E206,'Pre-Assessment Estimator'!$E$11:$Z$228,'Pre-Assessment Estimator'!$N$2,FALSE)&gt;AB206,AB206,VLOOKUP(E206,'Pre-Assessment Estimator'!$E$11:$Z$228,'Pre-Assessment Estimator'!$N$2,FALSE))</f>
        <v>0</v>
      </c>
      <c r="AK206" s="172">
        <f>IF(VLOOKUP(E206,'Pre-Assessment Estimator'!$E$11:$Z$228,'Pre-Assessment Estimator'!$U$2,FALSE)&gt;AB206,AB206,VLOOKUP(E206,'Pre-Assessment Estimator'!$E$11:$Z$228,'Pre-Assessment Estimator'!$U$2,FALSE))</f>
        <v>0</v>
      </c>
      <c r="AM206" s="292"/>
      <c r="AN206" s="293"/>
      <c r="AO206" s="293"/>
      <c r="AP206" s="293"/>
      <c r="AQ206" s="294"/>
      <c r="AR206" s="139"/>
      <c r="AS206" s="292"/>
      <c r="AT206" s="293"/>
      <c r="AU206" s="293"/>
      <c r="AV206" s="293"/>
      <c r="AW206" s="294"/>
      <c r="AY206" s="188"/>
      <c r="AZ206" s="189"/>
      <c r="BA206" s="189"/>
      <c r="BB206" s="189"/>
      <c r="BC206" s="190"/>
      <c r="BD206" s="182">
        <f t="shared" si="464"/>
        <v>9</v>
      </c>
      <c r="BE206" s="164" t="str">
        <f t="shared" si="544"/>
        <v>N/A</v>
      </c>
      <c r="BF206" s="185"/>
      <c r="BG206" s="182">
        <f t="shared" si="557"/>
        <v>9</v>
      </c>
      <c r="BH206" s="164" t="str">
        <f t="shared" si="545"/>
        <v>N/A</v>
      </c>
      <c r="BI206" s="185"/>
      <c r="BJ206" s="182">
        <f t="shared" si="447"/>
        <v>9</v>
      </c>
      <c r="BK206" s="164" t="str">
        <f t="shared" si="546"/>
        <v>N/A</v>
      </c>
      <c r="BL206" s="185"/>
      <c r="BO206" s="167"/>
      <c r="BP206" s="167"/>
      <c r="BQ206" s="167" t="str">
        <f t="shared" si="554"/>
        <v/>
      </c>
      <c r="BR206" s="167">
        <f t="shared" si="399"/>
        <v>9</v>
      </c>
      <c r="BS206" s="167">
        <f t="shared" si="400"/>
        <v>9</v>
      </c>
      <c r="BT206" s="167">
        <f t="shared" si="401"/>
        <v>9</v>
      </c>
      <c r="BW206" s="167"/>
      <c r="BX206" s="167"/>
      <c r="BY206" s="230"/>
      <c r="BZ206" s="167"/>
      <c r="CA206" s="680"/>
      <c r="CB206" s="167"/>
      <c r="CE206" s="99"/>
      <c r="CG206" s="681"/>
    </row>
    <row r="207" spans="1:85" x14ac:dyDescent="0.25">
      <c r="A207" s="96">
        <v>199</v>
      </c>
      <c r="D207" s="701" t="s">
        <v>186</v>
      </c>
      <c r="E207" s="700"/>
      <c r="F207" s="938"/>
      <c r="G207" s="938"/>
      <c r="H207" s="938"/>
      <c r="I207" s="938"/>
      <c r="J207" s="938"/>
      <c r="K207" s="938"/>
      <c r="L207" s="938"/>
      <c r="M207" s="938"/>
      <c r="N207" s="938"/>
      <c r="O207" s="938"/>
      <c r="P207" s="938"/>
      <c r="Q207" s="938"/>
      <c r="R207" s="938"/>
      <c r="T207" s="956"/>
      <c r="U207" s="701"/>
      <c r="V207" s="955"/>
      <c r="W207" s="956"/>
      <c r="X207" s="1102"/>
      <c r="Y207" s="1166"/>
      <c r="Z207" s="168"/>
      <c r="AA207" s="956"/>
      <c r="AB207" s="957"/>
      <c r="AD207" s="171">
        <f t="shared" si="542"/>
        <v>0</v>
      </c>
      <c r="AE207" s="960"/>
      <c r="AF207" s="960"/>
      <c r="AG207" s="960"/>
      <c r="AI207" s="720"/>
      <c r="AJ207" s="720"/>
      <c r="AK207" s="720"/>
      <c r="AM207" s="292"/>
      <c r="AN207" s="293"/>
      <c r="AO207" s="293"/>
      <c r="AP207" s="293"/>
      <c r="AQ207" s="294"/>
      <c r="AR207" s="139"/>
      <c r="AS207" s="292"/>
      <c r="AT207" s="293"/>
      <c r="AU207" s="293"/>
      <c r="AV207" s="293"/>
      <c r="AW207" s="294"/>
      <c r="AY207" s="188"/>
      <c r="AZ207" s="189"/>
      <c r="BA207" s="189"/>
      <c r="BB207" s="189"/>
      <c r="BC207" s="190">
        <f t="shared" si="543"/>
        <v>0</v>
      </c>
      <c r="BD207" s="182">
        <f t="shared" si="464"/>
        <v>9</v>
      </c>
      <c r="BE207" s="164" t="str">
        <f t="shared" si="544"/>
        <v>N/A</v>
      </c>
      <c r="BF207" s="185"/>
      <c r="BG207" s="182">
        <f t="shared" si="557"/>
        <v>9</v>
      </c>
      <c r="BH207" s="164" t="str">
        <f t="shared" si="545"/>
        <v>N/A</v>
      </c>
      <c r="BI207" s="185"/>
      <c r="BJ207" s="182">
        <f t="shared" si="447"/>
        <v>9</v>
      </c>
      <c r="BK207" s="164" t="str">
        <f t="shared" si="546"/>
        <v>N/A</v>
      </c>
      <c r="BL207" s="185"/>
      <c r="BO207" s="167"/>
      <c r="BP207" s="167"/>
      <c r="BQ207" s="167" t="str">
        <f t="shared" si="554"/>
        <v/>
      </c>
      <c r="BR207" s="167">
        <f t="shared" si="399"/>
        <v>9</v>
      </c>
      <c r="BS207" s="167">
        <f t="shared" si="400"/>
        <v>9</v>
      </c>
      <c r="BT207" s="167">
        <f t="shared" si="401"/>
        <v>9</v>
      </c>
      <c r="BW207" s="167" t="str">
        <f>D207</f>
        <v>POL 03</v>
      </c>
      <c r="BX207" s="167" t="str">
        <f>IFERROR(VLOOKUP($E207,'Pre-Assessment Estimator'!$E$11:$AB$228,'Pre-Assessment Estimator'!AB$2,FALSE),"")</f>
        <v/>
      </c>
      <c r="BY207" s="167" t="str">
        <f>IFERROR(VLOOKUP($E207,'Pre-Assessment Estimator'!$E$11:$AI$228,'Pre-Assessment Estimator'!AI$2,FALSE),"")</f>
        <v/>
      </c>
      <c r="BZ207" s="167" t="str">
        <f>IFERROR(VLOOKUP($BX207,$E$294:$H$327,F$292,FALSE),"")</f>
        <v/>
      </c>
      <c r="CA207" s="167" t="str">
        <f>IFERROR(VLOOKUP($BX207,$E$294:$H$327,G$292,FALSE),"")</f>
        <v/>
      </c>
      <c r="CB207" s="167"/>
      <c r="CC207" s="96" t="str">
        <f>IFERROR(VLOOKUP($BX207,$E$294:$H$327,I$292,FALSE),"")</f>
        <v/>
      </c>
    </row>
    <row r="208" spans="1:85" x14ac:dyDescent="0.25">
      <c r="A208" s="96">
        <v>200</v>
      </c>
      <c r="B208" s="137" t="str">
        <f>D208</f>
        <v>POL 04</v>
      </c>
      <c r="C208" s="137" t="str">
        <f>B208</f>
        <v>POL 04</v>
      </c>
      <c r="D208" s="834" t="s">
        <v>187</v>
      </c>
      <c r="E208" s="832" t="s">
        <v>164</v>
      </c>
      <c r="F208" s="951">
        <v>1</v>
      </c>
      <c r="G208" s="951">
        <v>1</v>
      </c>
      <c r="H208" s="951">
        <v>1</v>
      </c>
      <c r="I208" s="951">
        <v>1</v>
      </c>
      <c r="J208" s="951">
        <v>1</v>
      </c>
      <c r="K208" s="951">
        <v>1</v>
      </c>
      <c r="L208" s="951">
        <v>1</v>
      </c>
      <c r="M208" s="951">
        <v>1</v>
      </c>
      <c r="N208" s="951">
        <v>1</v>
      </c>
      <c r="O208" s="951">
        <v>1</v>
      </c>
      <c r="P208" s="951">
        <v>1</v>
      </c>
      <c r="Q208" s="951">
        <v>1</v>
      </c>
      <c r="R208" s="951">
        <v>1</v>
      </c>
      <c r="T208" s="963">
        <f t="shared" ref="T208:T214" si="558">HLOOKUP($E$6,$F$9:$R$231,$A208,FALSE)</f>
        <v>1</v>
      </c>
      <c r="U208" s="222"/>
      <c r="V208" s="1098"/>
      <c r="W208" s="963"/>
      <c r="X208" s="1099">
        <f>'Manuell filtrering og justering'!E89</f>
        <v>0</v>
      </c>
      <c r="Y208" s="1159"/>
      <c r="Z208" s="980">
        <f>SUM(AB209:AB210)</f>
        <v>1</v>
      </c>
      <c r="AA208" s="963">
        <f t="shared" ref="AA208:AA213" si="559">IF(SUM(U208:Y208)&gt;T208,T208,SUM(U208:Y208))</f>
        <v>0</v>
      </c>
      <c r="AB208" s="1066">
        <f>SUM(AB209:AB210)</f>
        <v>1</v>
      </c>
      <c r="AD208" s="171">
        <f t="shared" si="542"/>
        <v>5.7142857142857143E-3</v>
      </c>
      <c r="AE208" s="921">
        <f>IF(SUM(AE209:AE210)&gt;$AD$208,$AD$208,SUM(AE209:AE210))</f>
        <v>0</v>
      </c>
      <c r="AF208" s="921">
        <f>IF(SUM(AF209:AF210)&gt;$AD$208,$AD$208,SUM(AF209:AF210))</f>
        <v>0</v>
      </c>
      <c r="AG208" s="921">
        <f>IF(SUM(AG209:AG210)&gt;$AD$208,$AD$208,SUM(AG209:AG210))</f>
        <v>0</v>
      </c>
      <c r="AI208" s="958">
        <f>IF(SUM(AI209:AI210)&gt;Pol04_credits,Pol04_credits,SUM(AI209:AI210))</f>
        <v>0</v>
      </c>
      <c r="AJ208" s="958">
        <f>IF(SUM(AJ209:AJ210)&gt;Pol04_credits,Pol04_credits,SUM(AJ209:AJ210))</f>
        <v>0</v>
      </c>
      <c r="AK208" s="958">
        <f>IF(SUM(AK209:AK210)&gt;Pol04_credits,Pol04_credits,SUM(AK209:AK210))</f>
        <v>0</v>
      </c>
      <c r="AL208" s="96" t="s">
        <v>425</v>
      </c>
      <c r="AM208" s="292"/>
      <c r="AN208" s="293"/>
      <c r="AO208" s="293"/>
      <c r="AP208" s="293"/>
      <c r="AQ208" s="294"/>
      <c r="AR208" s="139"/>
      <c r="AS208" s="292"/>
      <c r="AT208" s="293"/>
      <c r="AU208" s="293"/>
      <c r="AV208" s="293"/>
      <c r="AW208" s="294"/>
      <c r="AY208" s="188"/>
      <c r="AZ208" s="189"/>
      <c r="BA208" s="189"/>
      <c r="BB208" s="189"/>
      <c r="BC208" s="190">
        <f t="shared" si="543"/>
        <v>0</v>
      </c>
      <c r="BD208" s="182">
        <f t="shared" ref="BD208:BD210" si="560">IF(BC208=0,9,IF(AI208&gt;=BC208,5,IF(AI208&gt;=BB208,4,IF(AI208&gt;=BA208,3,IF(AI208&gt;=AZ208,2,IF(AI208&lt;AY208,0,1))))))</f>
        <v>9</v>
      </c>
      <c r="BE208" s="164" t="str">
        <f t="shared" si="544"/>
        <v>N/A</v>
      </c>
      <c r="BF208" s="185"/>
      <c r="BG208" s="182">
        <f t="shared" si="557"/>
        <v>9</v>
      </c>
      <c r="BH208" s="164" t="str">
        <f t="shared" si="545"/>
        <v>N/A</v>
      </c>
      <c r="BI208" s="185"/>
      <c r="BJ208" s="182">
        <f t="shared" ref="BJ208:BJ210" si="561">IF(BC208=0,9,IF(AK208&gt;=BC208,5,IF(AK208&gt;=BB208,4,IF(AK208&gt;=BA208,3,IF(AK208&gt;=AZ208,2,IF(AK208&lt;AY208,0,1))))))</f>
        <v>9</v>
      </c>
      <c r="BK208" s="164" t="str">
        <f t="shared" si="546"/>
        <v>N/A</v>
      </c>
      <c r="BL208" s="185"/>
      <c r="BO208" s="167"/>
      <c r="BP208" s="167"/>
      <c r="BQ208" s="167" t="str">
        <f t="shared" si="554"/>
        <v/>
      </c>
      <c r="BR208" s="167">
        <f t="shared" si="399"/>
        <v>9</v>
      </c>
      <c r="BS208" s="167">
        <f t="shared" si="400"/>
        <v>9</v>
      </c>
      <c r="BT208" s="167">
        <f t="shared" si="401"/>
        <v>9</v>
      </c>
      <c r="BW208" s="167" t="str">
        <f>D208</f>
        <v>POL 04</v>
      </c>
      <c r="BX208" s="167" t="str">
        <f>IFERROR(VLOOKUP($E208,'Pre-Assessment Estimator'!$E$11:$AB$228,'Pre-Assessment Estimator'!AB$2,FALSE),"")</f>
        <v>No</v>
      </c>
      <c r="BY208" s="230" t="str">
        <f>IFERROR(VLOOKUP($E208,'Pre-Assessment Estimator'!$E$11:$AI$228,'Pre-Assessment Estimator'!AI$2,FALSE),"")</f>
        <v>Ja</v>
      </c>
      <c r="BZ208" s="167">
        <f>IFERROR(VLOOKUP($BX208,$E$294:$H$327,F$292,FALSE),"")</f>
        <v>1</v>
      </c>
      <c r="CA208" s="680" t="s">
        <v>430</v>
      </c>
      <c r="CB208" s="167"/>
      <c r="CC208" s="96" t="str">
        <f>IFERROR(VLOOKUP($BX208,$E$294:$H$327,I$292,FALSE),"")</f>
        <v/>
      </c>
      <c r="CD208" s="96" t="s">
        <v>436</v>
      </c>
      <c r="CE208" s="167">
        <f>VLOOKUP(CA208,$CA$4:$CB$5,2,FALSE)</f>
        <v>1</v>
      </c>
      <c r="CG208" s="681">
        <f>IF($BX$5=ais_nei,CE208,IF(AND(CA208=$CA$4,BX208=$CC$4),0,BZ208))</f>
        <v>1</v>
      </c>
    </row>
    <row r="209" spans="1:85" x14ac:dyDescent="0.25">
      <c r="A209" s="96">
        <v>201</v>
      </c>
      <c r="B209" s="96" t="str">
        <f t="shared" ref="B209:B210" si="562">$D$208&amp;D209</f>
        <v>POL 04a</v>
      </c>
      <c r="C209" s="96" t="str">
        <f t="shared" si="556"/>
        <v>POL 04</v>
      </c>
      <c r="D209" s="166" t="s">
        <v>692</v>
      </c>
      <c r="E209" s="917" t="s">
        <v>903</v>
      </c>
      <c r="F209" s="775">
        <v>1</v>
      </c>
      <c r="G209" s="775">
        <v>1</v>
      </c>
      <c r="H209" s="775">
        <v>1</v>
      </c>
      <c r="I209" s="775">
        <v>1</v>
      </c>
      <c r="J209" s="775">
        <v>1</v>
      </c>
      <c r="K209" s="775">
        <v>1</v>
      </c>
      <c r="L209" s="775">
        <v>1</v>
      </c>
      <c r="M209" s="775">
        <v>1</v>
      </c>
      <c r="N209" s="775">
        <v>1</v>
      </c>
      <c r="O209" s="775">
        <v>1</v>
      </c>
      <c r="P209" s="775">
        <v>1</v>
      </c>
      <c r="Q209" s="775">
        <v>1</v>
      </c>
      <c r="R209" s="775">
        <v>1</v>
      </c>
      <c r="T209" s="221">
        <f t="shared" si="558"/>
        <v>1</v>
      </c>
      <c r="U209" s="222">
        <f>IF('Assessment Details'!F18=AD_Yes,Poeng!T209,0)</f>
        <v>0</v>
      </c>
      <c r="V209" s="168"/>
      <c r="W209" s="963">
        <f>IF('Assessment Details'!F18=AD_Yes,Poeng!Z209,0)</f>
        <v>0</v>
      </c>
      <c r="X209" s="239"/>
      <c r="Y209" s="1158"/>
      <c r="Z209" s="168">
        <f>VLOOKUP(B209,'Manuell filtrering og justering'!$A$7:$H$253,'Manuell filtrering og justering'!$H$1,FALSE)</f>
        <v>1</v>
      </c>
      <c r="AA209" s="169">
        <f t="shared" si="559"/>
        <v>0</v>
      </c>
      <c r="AB209" s="1036">
        <f>IF($AC$5='Manuell filtrering og justering'!$J$2,Z209-W209,(T209-AA209))</f>
        <v>1</v>
      </c>
      <c r="AD209" s="171">
        <f t="shared" si="542"/>
        <v>5.7142857142857143E-3</v>
      </c>
      <c r="AE209" s="171">
        <f t="shared" si="548"/>
        <v>0</v>
      </c>
      <c r="AF209" s="171">
        <f t="shared" si="549"/>
        <v>0</v>
      </c>
      <c r="AG209" s="171">
        <f t="shared" si="550"/>
        <v>0</v>
      </c>
      <c r="AI209" s="172">
        <f>IF(VLOOKUP(E209,'Pre-Assessment Estimator'!$E$11:$Z$228,'Pre-Assessment Estimator'!$G$2,FALSE)&gt;AB209,AB209,VLOOKUP(E209,'Pre-Assessment Estimator'!$E$11:$Z$228,'Pre-Assessment Estimator'!$G$2,FALSE))</f>
        <v>0</v>
      </c>
      <c r="AJ209" s="172">
        <f>IF(VLOOKUP(E209,'Pre-Assessment Estimator'!$E$11:$Z$228,'Pre-Assessment Estimator'!$N$2,FALSE)&gt;AB209,AB209,VLOOKUP(E209,'Pre-Assessment Estimator'!$E$11:$Z$228,'Pre-Assessment Estimator'!$N$2,FALSE))</f>
        <v>0</v>
      </c>
      <c r="AK209" s="172">
        <f>IF(VLOOKUP(E209,'Pre-Assessment Estimator'!$E$11:$Z$228,'Pre-Assessment Estimator'!$U$2,FALSE)&gt;AB209,AB209,VLOOKUP(E209,'Pre-Assessment Estimator'!$E$11:$Z$228,'Pre-Assessment Estimator'!$U$2,FALSE))</f>
        <v>0</v>
      </c>
      <c r="AM209" s="850"/>
      <c r="AN209" s="851"/>
      <c r="AO209" s="851"/>
      <c r="AP209" s="851"/>
      <c r="AQ209" s="843"/>
      <c r="AR209" s="139"/>
      <c r="AS209" s="850"/>
      <c r="AT209" s="851"/>
      <c r="AU209" s="851"/>
      <c r="AV209" s="851"/>
      <c r="AW209" s="843"/>
      <c r="AY209" s="731"/>
      <c r="AZ209" s="733"/>
      <c r="BA209" s="733"/>
      <c r="BB209" s="733"/>
      <c r="BC209" s="852"/>
      <c r="BD209" s="182">
        <f t="shared" si="560"/>
        <v>9</v>
      </c>
      <c r="BE209" s="164" t="str">
        <f t="shared" si="544"/>
        <v>N/A</v>
      </c>
      <c r="BF209" s="185"/>
      <c r="BG209" s="182">
        <f t="shared" si="557"/>
        <v>9</v>
      </c>
      <c r="BH209" s="164" t="str">
        <f t="shared" si="545"/>
        <v>N/A</v>
      </c>
      <c r="BI209" s="185"/>
      <c r="BJ209" s="182">
        <f t="shared" si="561"/>
        <v>9</v>
      </c>
      <c r="BK209" s="164" t="str">
        <f t="shared" si="546"/>
        <v>N/A</v>
      </c>
      <c r="BL209" s="847"/>
      <c r="BO209" s="167"/>
      <c r="BP209" s="167"/>
      <c r="BQ209" s="167" t="str">
        <f t="shared" si="554"/>
        <v/>
      </c>
      <c r="BR209" s="167">
        <f t="shared" si="399"/>
        <v>9</v>
      </c>
      <c r="BS209" s="167">
        <f t="shared" si="400"/>
        <v>9</v>
      </c>
      <c r="BT209" s="167">
        <f t="shared" si="401"/>
        <v>9</v>
      </c>
      <c r="BW209" s="167"/>
      <c r="BX209" s="167"/>
      <c r="BY209" s="230"/>
      <c r="BZ209" s="167"/>
      <c r="CA209" s="680"/>
      <c r="CB209" s="167"/>
      <c r="CE209" s="167"/>
      <c r="CG209" s="681"/>
    </row>
    <row r="210" spans="1:85" x14ac:dyDescent="0.25">
      <c r="A210" s="96">
        <v>202</v>
      </c>
      <c r="B210" s="96" t="str">
        <f t="shared" si="562"/>
        <v>POL 04b</v>
      </c>
      <c r="C210" s="96" t="str">
        <f t="shared" si="556"/>
        <v>POL 04</v>
      </c>
      <c r="D210" s="166" t="s">
        <v>695</v>
      </c>
      <c r="E210" s="917" t="s">
        <v>904</v>
      </c>
      <c r="F210" s="775">
        <v>1</v>
      </c>
      <c r="G210" s="775">
        <v>1</v>
      </c>
      <c r="H210" s="775">
        <v>1</v>
      </c>
      <c r="I210" s="775">
        <v>1</v>
      </c>
      <c r="J210" s="775">
        <v>1</v>
      </c>
      <c r="K210" s="775">
        <v>1</v>
      </c>
      <c r="L210" s="775">
        <v>1</v>
      </c>
      <c r="M210" s="775">
        <v>1</v>
      </c>
      <c r="N210" s="775">
        <v>1</v>
      </c>
      <c r="O210" s="775">
        <v>1</v>
      </c>
      <c r="P210" s="775">
        <v>1</v>
      </c>
      <c r="Q210" s="775">
        <v>1</v>
      </c>
      <c r="R210" s="775">
        <v>1</v>
      </c>
      <c r="T210" s="221">
        <f t="shared" si="558"/>
        <v>1</v>
      </c>
      <c r="U210" s="222">
        <f>IF(U209=1,0,T210)</f>
        <v>1</v>
      </c>
      <c r="V210" s="168"/>
      <c r="W210" s="963">
        <f>IF(W209=1,0,Z210)</f>
        <v>1</v>
      </c>
      <c r="X210" s="239"/>
      <c r="Y210" s="1158"/>
      <c r="Z210" s="168">
        <f>VLOOKUP(B210,'Manuell filtrering og justering'!$A$7:$H$253,'Manuell filtrering og justering'!$H$1,FALSE)</f>
        <v>1</v>
      </c>
      <c r="AA210" s="169">
        <f t="shared" si="559"/>
        <v>1</v>
      </c>
      <c r="AB210" s="1036">
        <f>IF($AC$5='Manuell filtrering og justering'!$J$2,Z210-W210,(T210-AA210))</f>
        <v>0</v>
      </c>
      <c r="AD210" s="171">
        <f t="shared" si="542"/>
        <v>0</v>
      </c>
      <c r="AE210" s="171">
        <f t="shared" si="548"/>
        <v>0</v>
      </c>
      <c r="AF210" s="171">
        <f t="shared" si="549"/>
        <v>0</v>
      </c>
      <c r="AG210" s="171">
        <f t="shared" si="550"/>
        <v>0</v>
      </c>
      <c r="AI210" s="172">
        <f>IF(VLOOKUP(E210,'Pre-Assessment Estimator'!$E$11:$Z$228,'Pre-Assessment Estimator'!$G$2,FALSE)&gt;AB210,AB210,VLOOKUP(E210,'Pre-Assessment Estimator'!$E$11:$Z$228,'Pre-Assessment Estimator'!$G$2,FALSE))</f>
        <v>0</v>
      </c>
      <c r="AJ210" s="172">
        <f>IF(VLOOKUP(E210,'Pre-Assessment Estimator'!$E$11:$Z$228,'Pre-Assessment Estimator'!$N$2,FALSE)&gt;AB210,AB210,VLOOKUP(E210,'Pre-Assessment Estimator'!$E$11:$Z$228,'Pre-Assessment Estimator'!$N$2,FALSE))</f>
        <v>0</v>
      </c>
      <c r="AK210" s="172">
        <f>IF(VLOOKUP(E210,'Pre-Assessment Estimator'!$E$11:$Z$228,'Pre-Assessment Estimator'!$U$2,FALSE)&gt;AB210,AB210,VLOOKUP(E210,'Pre-Assessment Estimator'!$E$11:$Z$228,'Pre-Assessment Estimator'!$U$2,FALSE))</f>
        <v>0</v>
      </c>
      <c r="AM210" s="850"/>
      <c r="AN210" s="851"/>
      <c r="AO210" s="851"/>
      <c r="AP210" s="851"/>
      <c r="AQ210" s="843"/>
      <c r="AR210" s="139"/>
      <c r="AS210" s="850"/>
      <c r="AT210" s="851"/>
      <c r="AU210" s="851"/>
      <c r="AV210" s="851"/>
      <c r="AW210" s="843"/>
      <c r="AY210" s="731"/>
      <c r="AZ210" s="733"/>
      <c r="BA210" s="733"/>
      <c r="BB210" s="733"/>
      <c r="BC210" s="852"/>
      <c r="BD210" s="182">
        <f t="shared" si="560"/>
        <v>9</v>
      </c>
      <c r="BE210" s="164" t="str">
        <f t="shared" si="544"/>
        <v>N/A</v>
      </c>
      <c r="BF210" s="185"/>
      <c r="BG210" s="182">
        <f t="shared" si="557"/>
        <v>9</v>
      </c>
      <c r="BH210" s="164" t="str">
        <f t="shared" si="545"/>
        <v>N/A</v>
      </c>
      <c r="BI210" s="185"/>
      <c r="BJ210" s="182">
        <f t="shared" si="561"/>
        <v>9</v>
      </c>
      <c r="BK210" s="164" t="str">
        <f t="shared" si="546"/>
        <v>N/A</v>
      </c>
      <c r="BL210" s="847"/>
      <c r="BO210" s="167"/>
      <c r="BP210" s="167"/>
      <c r="BQ210" s="167" t="str">
        <f t="shared" si="554"/>
        <v/>
      </c>
      <c r="BR210" s="167">
        <f t="shared" si="399"/>
        <v>9</v>
      </c>
      <c r="BS210" s="167">
        <f t="shared" si="400"/>
        <v>9</v>
      </c>
      <c r="BT210" s="167">
        <f t="shared" si="401"/>
        <v>9</v>
      </c>
      <c r="BW210" s="167"/>
      <c r="BX210" s="167"/>
      <c r="BY210" s="230"/>
      <c r="BZ210" s="167"/>
      <c r="CA210" s="680"/>
      <c r="CB210" s="167"/>
      <c r="CE210" s="167"/>
      <c r="CG210" s="681"/>
    </row>
    <row r="211" spans="1:85" ht="15.75" thickBot="1" x14ac:dyDescent="0.3">
      <c r="A211" s="96">
        <v>203</v>
      </c>
      <c r="B211" s="137" t="str">
        <f>D211</f>
        <v>POL 05</v>
      </c>
      <c r="C211" s="137" t="str">
        <f>B211</f>
        <v>POL 05</v>
      </c>
      <c r="D211" s="834" t="s">
        <v>188</v>
      </c>
      <c r="E211" s="832" t="s">
        <v>907</v>
      </c>
      <c r="F211" s="951">
        <v>1</v>
      </c>
      <c r="G211" s="951">
        <v>1</v>
      </c>
      <c r="H211" s="1230">
        <v>0</v>
      </c>
      <c r="I211" s="951">
        <v>1</v>
      </c>
      <c r="J211" s="951">
        <v>1</v>
      </c>
      <c r="K211" s="951">
        <v>1</v>
      </c>
      <c r="L211" s="951">
        <v>1</v>
      </c>
      <c r="M211" s="951">
        <v>1</v>
      </c>
      <c r="N211" s="951">
        <v>1</v>
      </c>
      <c r="O211" s="951">
        <v>1</v>
      </c>
      <c r="P211" s="951">
        <v>1</v>
      </c>
      <c r="Q211" s="951">
        <v>1</v>
      </c>
      <c r="R211" s="951">
        <v>1</v>
      </c>
      <c r="T211" s="963">
        <f t="shared" si="558"/>
        <v>1</v>
      </c>
      <c r="U211" s="222">
        <f>IF(ADIND_option02n=AD_no,Poeng!T211,0)</f>
        <v>0</v>
      </c>
      <c r="V211" s="1098"/>
      <c r="W211" s="963"/>
      <c r="X211" s="1099">
        <f>'Manuell filtrering og justering'!E90</f>
        <v>0</v>
      </c>
      <c r="Y211" s="1159"/>
      <c r="Z211" s="980">
        <f>SUM(AB212:AB213)</f>
        <v>1</v>
      </c>
      <c r="AA211" s="963">
        <f t="shared" si="559"/>
        <v>0</v>
      </c>
      <c r="AB211" s="1066">
        <f>SUM(AB212:AB213)</f>
        <v>1</v>
      </c>
      <c r="AD211" s="171">
        <f t="shared" si="542"/>
        <v>5.7142857142857143E-3</v>
      </c>
      <c r="AE211" s="921">
        <f>IF(SUM(AE212:AE213)&gt;$AD$211,$AD$211,SUM(AE212:AE213))</f>
        <v>0</v>
      </c>
      <c r="AF211" s="921">
        <f>IF(SUM(AF212:AF213)&gt;$AD$211,$AD$211,SUM(AF212:AF213))</f>
        <v>0</v>
      </c>
      <c r="AG211" s="921">
        <f>IF(SUM(AG212:AG213)&gt;$AD$211,$AD$211,SUM(AG212:AG213))</f>
        <v>0</v>
      </c>
      <c r="AI211" s="958">
        <f>IF(SUM(AI212:AI213)&gt;Pol05_credits,Pol05_credits,SUM(AI212:AI213))</f>
        <v>0</v>
      </c>
      <c r="AJ211" s="958">
        <f>IF(SUM(AJ212:AJ213)&gt;Pol05_credits,Pol05_credits,SUM(AJ212:AJ213))</f>
        <v>0</v>
      </c>
      <c r="AK211" s="958">
        <f>IF(SUM(AK212:AK213)&gt;Pol05_credits,Pol05_credits,SUM(AK212:AK213))</f>
        <v>0</v>
      </c>
      <c r="AL211" s="96" t="s">
        <v>425</v>
      </c>
      <c r="AM211" s="295"/>
      <c r="AN211" s="296"/>
      <c r="AO211" s="296"/>
      <c r="AP211" s="296"/>
      <c r="AQ211" s="297"/>
      <c r="AR211" s="139"/>
      <c r="AS211" s="295"/>
      <c r="AT211" s="296"/>
      <c r="AU211" s="296"/>
      <c r="AV211" s="296"/>
      <c r="AW211" s="297"/>
      <c r="AY211" s="194"/>
      <c r="AZ211" s="196"/>
      <c r="BA211" s="196"/>
      <c r="BB211" s="196"/>
      <c r="BC211" s="197">
        <f t="shared" si="543"/>
        <v>0</v>
      </c>
      <c r="BD211" s="198">
        <f t="shared" si="464"/>
        <v>9</v>
      </c>
      <c r="BE211" s="164" t="str">
        <f t="shared" si="544"/>
        <v>N/A</v>
      </c>
      <c r="BF211" s="200"/>
      <c r="BG211" s="198">
        <f>IF(BC211=0,9,IF(AJ211&gt;=BC211,5,IF(AJ211&gt;=BB211,4,IF(AJ211&gt;=BA211,3,IF(AJ211&gt;=AZ211,2,IF(AJ211&lt;AY211,0,1))))))</f>
        <v>9</v>
      </c>
      <c r="BH211" s="164" t="str">
        <f t="shared" si="545"/>
        <v>N/A</v>
      </c>
      <c r="BI211" s="200"/>
      <c r="BJ211" s="198">
        <f t="shared" si="447"/>
        <v>9</v>
      </c>
      <c r="BK211" s="164" t="str">
        <f t="shared" si="546"/>
        <v>N/A</v>
      </c>
      <c r="BL211" s="200"/>
      <c r="BO211" s="167"/>
      <c r="BP211" s="167"/>
      <c r="BQ211" s="167" t="str">
        <f t="shared" si="554"/>
        <v/>
      </c>
      <c r="BR211" s="167">
        <f t="shared" si="399"/>
        <v>9</v>
      </c>
      <c r="BS211" s="167">
        <f t="shared" si="400"/>
        <v>9</v>
      </c>
      <c r="BT211" s="167">
        <f t="shared" si="401"/>
        <v>9</v>
      </c>
      <c r="BW211" s="167" t="str">
        <f>D211</f>
        <v>POL 05</v>
      </c>
      <c r="BX211" s="167" t="str">
        <f>IFERROR(VLOOKUP($E211,'Pre-Assessment Estimator'!$E$11:$AB$228,'Pre-Assessment Estimator'!AB$2,FALSE),"")</f>
        <v>No</v>
      </c>
      <c r="BY211" s="230" t="str">
        <f>IFERROR(VLOOKUP($E211,'Pre-Assessment Estimator'!$E$11:$AI$228,'Pre-Assessment Estimator'!AI$2,FALSE),"")</f>
        <v>Ja</v>
      </c>
      <c r="BZ211" s="167">
        <f>IFERROR(VLOOKUP($BX211,$E$294:$H$327,F$292,FALSE),"")</f>
        <v>1</v>
      </c>
      <c r="CA211" s="680" t="s">
        <v>430</v>
      </c>
      <c r="CB211" s="167"/>
      <c r="CC211" s="96" t="str">
        <f>IFERROR(VLOOKUP($BX211,$E$294:$H$327,I$292,FALSE),"")</f>
        <v/>
      </c>
      <c r="CD211" s="96" t="s">
        <v>403</v>
      </c>
      <c r="CE211" s="167">
        <f>VLOOKUP(CA211,$CA$4:$CB$5,2,FALSE)</f>
        <v>1</v>
      </c>
      <c r="CG211" s="681">
        <f>IF($BX$5=ais_nei,CE211,IF(AND(CA211=$CA$4,BX211=$CC$4),0,BZ211))</f>
        <v>1</v>
      </c>
    </row>
    <row r="212" spans="1:85" x14ac:dyDescent="0.25">
      <c r="A212" s="96">
        <v>204</v>
      </c>
      <c r="B212" s="96" t="str">
        <f t="shared" ref="B212:B213" si="563">$D$211&amp;D212</f>
        <v>POL 05a</v>
      </c>
      <c r="C212" s="96" t="str">
        <f t="shared" si="556"/>
        <v>POL 05</v>
      </c>
      <c r="D212" s="166" t="s">
        <v>692</v>
      </c>
      <c r="E212" s="917" t="s">
        <v>905</v>
      </c>
      <c r="F212" s="775">
        <v>1</v>
      </c>
      <c r="G212" s="775">
        <v>1</v>
      </c>
      <c r="H212" s="1022">
        <v>0</v>
      </c>
      <c r="I212" s="775">
        <v>1</v>
      </c>
      <c r="J212" s="775">
        <v>1</v>
      </c>
      <c r="K212" s="775">
        <v>1</v>
      </c>
      <c r="L212" s="775">
        <v>1</v>
      </c>
      <c r="M212" s="775">
        <v>1</v>
      </c>
      <c r="N212" s="775">
        <v>1</v>
      </c>
      <c r="O212" s="775">
        <v>1</v>
      </c>
      <c r="P212" s="775">
        <v>1</v>
      </c>
      <c r="Q212" s="775">
        <v>1</v>
      </c>
      <c r="R212" s="775">
        <v>1</v>
      </c>
      <c r="T212" s="221">
        <f t="shared" si="558"/>
        <v>1</v>
      </c>
      <c r="U212" s="728">
        <f>IF('Assessment Details'!F27=AD_Yes,Poeng!T212,0)</f>
        <v>0</v>
      </c>
      <c r="V212" s="1101">
        <f>IF(ADIND_option02n=AD_no,T212,0)</f>
        <v>0</v>
      </c>
      <c r="W212" s="1106">
        <f>IF('Assessment Details'!F27=AD_Yes,Poeng!Z212,0)</f>
        <v>0</v>
      </c>
      <c r="X212" s="1103"/>
      <c r="Y212" s="169">
        <f>IF($Y$4=$Y$6,T212,0)</f>
        <v>0</v>
      </c>
      <c r="Z212" s="168">
        <f>VLOOKUP(B212,'Manuell filtrering og justering'!$A$7:$H$253,'Manuell filtrering og justering'!$H$1,FALSE)</f>
        <v>1</v>
      </c>
      <c r="AA212" s="169">
        <f t="shared" si="559"/>
        <v>0</v>
      </c>
      <c r="AB212" s="1036">
        <f>IF($AC$5='Manuell filtrering og justering'!$J$2,Z212-W212,(T212-AA212))</f>
        <v>1</v>
      </c>
      <c r="AD212" s="171">
        <f t="shared" si="542"/>
        <v>5.7142857142857143E-3</v>
      </c>
      <c r="AE212" s="171">
        <f t="shared" si="548"/>
        <v>0</v>
      </c>
      <c r="AF212" s="171">
        <f t="shared" si="549"/>
        <v>0</v>
      </c>
      <c r="AG212" s="171">
        <f t="shared" si="550"/>
        <v>0</v>
      </c>
      <c r="AI212" s="172">
        <f>IF(VLOOKUP(E212,'Pre-Assessment Estimator'!$E$11:$Z$228,'Pre-Assessment Estimator'!$G$2,FALSE)&gt;AB212,AB212,VLOOKUP(E212,'Pre-Assessment Estimator'!$E$11:$Z$228,'Pre-Assessment Estimator'!$G$2,FALSE))</f>
        <v>0</v>
      </c>
      <c r="AJ212" s="172">
        <f>IF(VLOOKUP(E212,'Pre-Assessment Estimator'!$E$11:$Z$228,'Pre-Assessment Estimator'!$N$2,FALSE)&gt;AB212,AB212,VLOOKUP(E212,'Pre-Assessment Estimator'!$E$11:$Z$228,'Pre-Assessment Estimator'!$N$2,FALSE))</f>
        <v>0</v>
      </c>
      <c r="AK212" s="172">
        <f>IF(VLOOKUP(E212,'Pre-Assessment Estimator'!$E$11:$Z$228,'Pre-Assessment Estimator'!$U$2,FALSE)&gt;AB212,AB212,VLOOKUP(E212,'Pre-Assessment Estimator'!$E$11:$Z$228,'Pre-Assessment Estimator'!$U$2,FALSE))</f>
        <v>0</v>
      </c>
      <c r="AM212" s="850"/>
      <c r="AN212" s="851"/>
      <c r="AO212" s="851"/>
      <c r="AP212" s="851"/>
      <c r="AQ212" s="843"/>
      <c r="AR212" s="139"/>
      <c r="AS212" s="850"/>
      <c r="AT212" s="851"/>
      <c r="AU212" s="851"/>
      <c r="AV212" s="851"/>
      <c r="AW212" s="843"/>
      <c r="AY212" s="731"/>
      <c r="AZ212" s="733"/>
      <c r="BA212" s="733"/>
      <c r="BB212" s="733"/>
      <c r="BC212" s="852"/>
      <c r="BD212" s="182">
        <f t="shared" si="464"/>
        <v>9</v>
      </c>
      <c r="BE212" s="164" t="str">
        <f t="shared" si="544"/>
        <v>N/A</v>
      </c>
      <c r="BF212" s="185"/>
      <c r="BG212" s="182">
        <f t="shared" ref="BG212:BG213" si="564">IF(BC212=0,9,IF(AJ212&gt;=BC212,5,IF(AJ212&gt;=BB212,4,IF(AJ212&gt;=BA212,3,IF(AJ212&gt;=AZ212,2,IF(AJ212&lt;AY212,0,1))))))</f>
        <v>9</v>
      </c>
      <c r="BH212" s="164" t="str">
        <f t="shared" si="545"/>
        <v>N/A</v>
      </c>
      <c r="BI212" s="185"/>
      <c r="BJ212" s="182">
        <f t="shared" si="447"/>
        <v>9</v>
      </c>
      <c r="BK212" s="164" t="str">
        <f t="shared" si="546"/>
        <v>N/A</v>
      </c>
      <c r="BL212" s="847"/>
      <c r="BO212" s="167"/>
      <c r="BP212" s="167"/>
      <c r="BQ212" s="167" t="str">
        <f t="shared" si="554"/>
        <v/>
      </c>
      <c r="BR212" s="167">
        <f t="shared" si="399"/>
        <v>9</v>
      </c>
      <c r="BS212" s="167">
        <f t="shared" si="400"/>
        <v>9</v>
      </c>
      <c r="BT212" s="167">
        <f t="shared" si="401"/>
        <v>9</v>
      </c>
      <c r="BW212" s="314"/>
      <c r="BX212" s="314"/>
      <c r="BY212" s="853"/>
      <c r="BZ212" s="314"/>
      <c r="CA212" s="680"/>
      <c r="CB212" s="314"/>
      <c r="CE212" s="99"/>
      <c r="CG212" s="681"/>
    </row>
    <row r="213" spans="1:85" ht="15.75" thickBot="1" x14ac:dyDescent="0.3">
      <c r="A213" s="96">
        <v>205</v>
      </c>
      <c r="B213" s="96" t="str">
        <f t="shared" si="563"/>
        <v>POL 05b</v>
      </c>
      <c r="C213" s="96" t="str">
        <f t="shared" si="556"/>
        <v>POL 05</v>
      </c>
      <c r="D213" s="229" t="s">
        <v>695</v>
      </c>
      <c r="E213" s="917" t="s">
        <v>906</v>
      </c>
      <c r="F213" s="944">
        <v>1</v>
      </c>
      <c r="G213" s="944">
        <v>1</v>
      </c>
      <c r="H213" s="1229">
        <v>0</v>
      </c>
      <c r="I213" s="944">
        <v>1</v>
      </c>
      <c r="J213" s="944">
        <v>1</v>
      </c>
      <c r="K213" s="944">
        <v>1</v>
      </c>
      <c r="L213" s="944">
        <v>1</v>
      </c>
      <c r="M213" s="944">
        <v>1</v>
      </c>
      <c r="N213" s="944">
        <v>1</v>
      </c>
      <c r="O213" s="944">
        <v>1</v>
      </c>
      <c r="P213" s="944">
        <v>1</v>
      </c>
      <c r="Q213" s="944">
        <v>1</v>
      </c>
      <c r="R213" s="944">
        <v>1</v>
      </c>
      <c r="T213" s="221">
        <f t="shared" si="558"/>
        <v>1</v>
      </c>
      <c r="U213" s="222">
        <f>IF(U212=1,0,T213)</f>
        <v>1</v>
      </c>
      <c r="V213" s="1101">
        <f>IF(ADIND_option02n=AD_no,T213,0)</f>
        <v>0</v>
      </c>
      <c r="W213" s="1106">
        <f>IF(W212=1,0,Z213)</f>
        <v>1</v>
      </c>
      <c r="X213" s="1103"/>
      <c r="Y213" s="169">
        <f>IF($Y$4=$Y$6,T213,0)</f>
        <v>0</v>
      </c>
      <c r="Z213" s="168">
        <f>VLOOKUP(B213,'Manuell filtrering og justering'!$A$7:$H$253,'Manuell filtrering og justering'!$H$1,FALSE)</f>
        <v>1</v>
      </c>
      <c r="AA213" s="169">
        <f t="shared" si="559"/>
        <v>1</v>
      </c>
      <c r="AB213" s="1036">
        <f>IF($AC$5='Manuell filtrering og justering'!$J$2,Z213-W213,(T213-AA213))</f>
        <v>0</v>
      </c>
      <c r="AD213" s="171">
        <f t="shared" si="542"/>
        <v>0</v>
      </c>
      <c r="AE213" s="171">
        <f t="shared" si="548"/>
        <v>0</v>
      </c>
      <c r="AF213" s="171">
        <f t="shared" si="549"/>
        <v>0</v>
      </c>
      <c r="AG213" s="171">
        <f t="shared" si="550"/>
        <v>0</v>
      </c>
      <c r="AI213" s="172">
        <f>IF(VLOOKUP(E213,'Pre-Assessment Estimator'!$E$11:$Z$228,'Pre-Assessment Estimator'!$G$2,FALSE)&gt;AB213,AB213,VLOOKUP(E213,'Pre-Assessment Estimator'!$E$11:$Z$228,'Pre-Assessment Estimator'!$G$2,FALSE))</f>
        <v>0</v>
      </c>
      <c r="AJ213" s="172">
        <f>IF(VLOOKUP(E213,'Pre-Assessment Estimator'!$E$11:$Z$228,'Pre-Assessment Estimator'!$N$2,FALSE)&gt;AB213,AB213,VLOOKUP(E213,'Pre-Assessment Estimator'!$E$11:$Z$228,'Pre-Assessment Estimator'!$N$2,FALSE))</f>
        <v>0</v>
      </c>
      <c r="AK213" s="172">
        <f>IF(VLOOKUP(E213,'Pre-Assessment Estimator'!$E$11:$Z$228,'Pre-Assessment Estimator'!$U$2,FALSE)&gt;AB213,AB213,VLOOKUP(E213,'Pre-Assessment Estimator'!$E$11:$Z$228,'Pre-Assessment Estimator'!$U$2,FALSE))</f>
        <v>0</v>
      </c>
      <c r="AM213" s="850"/>
      <c r="AN213" s="851"/>
      <c r="AO213" s="851"/>
      <c r="AP213" s="851"/>
      <c r="AQ213" s="843"/>
      <c r="AR213" s="139"/>
      <c r="AS213" s="850"/>
      <c r="AT213" s="851"/>
      <c r="AU213" s="851"/>
      <c r="AV213" s="851"/>
      <c r="AW213" s="843"/>
      <c r="AY213" s="731"/>
      <c r="AZ213" s="733"/>
      <c r="BA213" s="733"/>
      <c r="BB213" s="733"/>
      <c r="BC213" s="852"/>
      <c r="BD213" s="182">
        <f t="shared" si="464"/>
        <v>9</v>
      </c>
      <c r="BE213" s="164" t="str">
        <f t="shared" si="544"/>
        <v>N/A</v>
      </c>
      <c r="BF213" s="185"/>
      <c r="BG213" s="182">
        <f t="shared" si="564"/>
        <v>9</v>
      </c>
      <c r="BH213" s="164" t="str">
        <f t="shared" si="545"/>
        <v>N/A</v>
      </c>
      <c r="BI213" s="185"/>
      <c r="BJ213" s="182">
        <f t="shared" si="447"/>
        <v>9</v>
      </c>
      <c r="BK213" s="164" t="str">
        <f t="shared" si="546"/>
        <v>N/A</v>
      </c>
      <c r="BL213" s="847"/>
      <c r="BO213" s="167"/>
      <c r="BP213" s="167"/>
      <c r="BQ213" s="167" t="str">
        <f t="shared" si="554"/>
        <v/>
      </c>
      <c r="BR213" s="167">
        <f t="shared" si="399"/>
        <v>9</v>
      </c>
      <c r="BS213" s="167">
        <f t="shared" si="400"/>
        <v>9</v>
      </c>
      <c r="BT213" s="167">
        <f t="shared" si="401"/>
        <v>9</v>
      </c>
      <c r="BW213" s="314"/>
      <c r="BX213" s="314"/>
      <c r="BY213" s="853"/>
      <c r="BZ213" s="314"/>
      <c r="CA213" s="680"/>
      <c r="CB213" s="314"/>
      <c r="CE213" s="99"/>
      <c r="CG213" s="681"/>
    </row>
    <row r="214" spans="1:85" ht="15.75" thickBot="1" x14ac:dyDescent="0.3">
      <c r="A214" s="96">
        <v>206</v>
      </c>
      <c r="B214" s="96" t="s">
        <v>889</v>
      </c>
      <c r="D214" s="711"/>
      <c r="E214" s="710" t="s">
        <v>213</v>
      </c>
      <c r="F214" s="774">
        <f t="shared" ref="F214:R214" si="565">F200+F204+F208+F211</f>
        <v>7</v>
      </c>
      <c r="G214" s="774">
        <f t="shared" si="565"/>
        <v>7</v>
      </c>
      <c r="H214" s="774">
        <f t="shared" si="565"/>
        <v>6</v>
      </c>
      <c r="I214" s="774">
        <f t="shared" si="565"/>
        <v>7</v>
      </c>
      <c r="J214" s="774">
        <f t="shared" si="565"/>
        <v>7</v>
      </c>
      <c r="K214" s="774">
        <f t="shared" si="565"/>
        <v>7</v>
      </c>
      <c r="L214" s="774">
        <f t="shared" si="565"/>
        <v>7</v>
      </c>
      <c r="M214" s="774">
        <f t="shared" si="565"/>
        <v>7</v>
      </c>
      <c r="N214" s="774">
        <f t="shared" si="565"/>
        <v>7</v>
      </c>
      <c r="O214" s="774">
        <f t="shared" si="565"/>
        <v>7</v>
      </c>
      <c r="P214" s="774">
        <f t="shared" si="565"/>
        <v>7</v>
      </c>
      <c r="Q214" s="774">
        <f t="shared" ref="Q214" si="566">Q200+Q204+Q208+Q211</f>
        <v>7</v>
      </c>
      <c r="R214" s="774">
        <f t="shared" si="565"/>
        <v>7</v>
      </c>
      <c r="T214" s="226">
        <f t="shared" si="558"/>
        <v>7</v>
      </c>
      <c r="U214" s="204"/>
      <c r="V214" s="206"/>
      <c r="W214" s="207"/>
      <c r="X214" s="1104"/>
      <c r="Y214" s="1161"/>
      <c r="Z214" s="206"/>
      <c r="AA214" s="774">
        <f>AA200+AA204+AA208+AA211</f>
        <v>0</v>
      </c>
      <c r="AB214" s="774">
        <f>AB200+AB204+AB208+AB211</f>
        <v>7</v>
      </c>
      <c r="AD214" s="208">
        <f>AD200+AD204+AD208+AD211</f>
        <v>0.04</v>
      </c>
      <c r="AE214" s="208">
        <f>AE200+AE204+AE208+AE211</f>
        <v>0</v>
      </c>
      <c r="AF214" s="208">
        <f>AF200+AF204+AF208+AF211</f>
        <v>0</v>
      </c>
      <c r="AG214" s="208">
        <f>AG200+AG204+AG208+AG211</f>
        <v>0</v>
      </c>
      <c r="AI214" s="44">
        <f>AI200+AI204+AI208+AI211</f>
        <v>0</v>
      </c>
      <c r="AJ214" s="44">
        <f>AJ200+AJ204+AJ208+AJ211</f>
        <v>0</v>
      </c>
      <c r="AK214" s="44">
        <f>AK200+AK204+AK208+AK211</f>
        <v>0</v>
      </c>
      <c r="AM214" s="139"/>
      <c r="AN214" s="139"/>
      <c r="AO214" s="139"/>
      <c r="AP214" s="139"/>
      <c r="AQ214" s="139"/>
      <c r="AR214" s="139"/>
      <c r="AS214" s="139"/>
      <c r="AT214" s="139"/>
      <c r="AU214" s="139"/>
      <c r="AV214" s="139"/>
      <c r="AW214" s="139"/>
      <c r="AY214" s="97"/>
      <c r="AZ214" s="209"/>
      <c r="BA214" s="97"/>
      <c r="BB214" s="97"/>
      <c r="BC214" s="97"/>
      <c r="BW214" s="202"/>
      <c r="BX214" s="202" t="str">
        <f>IFERROR(VLOOKUP($E214,'Pre-Assessment Estimator'!$E$11:$AB$228,'Pre-Assessment Estimator'!AB$2,FALSE),"")</f>
        <v/>
      </c>
      <c r="BY214" s="202" t="str">
        <f>IFERROR(VLOOKUP($E214,'Pre-Assessment Estimator'!$E$11:$AI$228,'Pre-Assessment Estimator'!AI$2,FALSE),"")</f>
        <v/>
      </c>
      <c r="BZ214" s="202" t="str">
        <f t="shared" ref="BZ214:BZ225" si="567">IFERROR(VLOOKUP($BX214,$E$294:$H$327,F$292,FALSE),"")</f>
        <v/>
      </c>
      <c r="CA214" s="202" t="str">
        <f t="shared" ref="CA214:CA225" si="568">IFERROR(VLOOKUP($BX214,$E$294:$H$327,G$292,FALSE),"")</f>
        <v/>
      </c>
      <c r="CB214" s="202"/>
      <c r="CC214" s="96" t="str">
        <f t="shared" ref="CC214:CC225" si="569">IFERROR(VLOOKUP($BX214,$E$294:$H$327,I$292,FALSE),"")</f>
        <v/>
      </c>
    </row>
    <row r="215" spans="1:85" ht="15.75" thickBot="1" x14ac:dyDescent="0.3">
      <c r="A215" s="96">
        <v>207</v>
      </c>
      <c r="AI215" s="3"/>
      <c r="AJ215" s="3"/>
      <c r="AK215" s="3"/>
      <c r="AM215" s="139"/>
      <c r="AN215" s="139"/>
      <c r="AO215" s="139"/>
      <c r="AP215" s="139"/>
      <c r="AQ215" s="139"/>
      <c r="AR215" s="139"/>
      <c r="AS215" s="139"/>
      <c r="AT215" s="139"/>
      <c r="AU215" s="139"/>
      <c r="AV215" s="139"/>
      <c r="AW215" s="139"/>
      <c r="AY215" s="97"/>
      <c r="AZ215" s="97"/>
      <c r="BA215" s="97"/>
      <c r="BB215" s="97"/>
      <c r="BC215" s="97"/>
      <c r="BX215" s="96" t="str">
        <f>IFERROR(VLOOKUP($E215,'Pre-Assessment Estimator'!$E$11:$AB$228,'Pre-Assessment Estimator'!AB$2,FALSE),"")</f>
        <v/>
      </c>
      <c r="BY215" s="96" t="str">
        <f>IFERROR(VLOOKUP($E215,'Pre-Assessment Estimator'!$E$11:$AI$228,'Pre-Assessment Estimator'!AI$2,FALSE),"")</f>
        <v/>
      </c>
      <c r="BZ215" s="96" t="str">
        <f t="shared" si="567"/>
        <v/>
      </c>
      <c r="CA215" s="96" t="str">
        <f t="shared" si="568"/>
        <v/>
      </c>
      <c r="CC215" s="96" t="str">
        <f t="shared" si="569"/>
        <v/>
      </c>
    </row>
    <row r="216" spans="1:85" ht="60.75" thickBot="1" x14ac:dyDescent="0.3">
      <c r="A216" s="96">
        <v>208</v>
      </c>
      <c r="D216" s="151"/>
      <c r="E216" s="152" t="s">
        <v>225</v>
      </c>
      <c r="F216" s="1241" t="str">
        <f>$F$9</f>
        <v>Office</v>
      </c>
      <c r="G216" s="1241" t="str">
        <f>$G$9</f>
        <v>Retail</v>
      </c>
      <c r="H216" s="1245" t="str">
        <f>$H$9</f>
        <v>Residential</v>
      </c>
      <c r="I216" s="1241" t="str">
        <f>$I$9</f>
        <v>Industrial</v>
      </c>
      <c r="J216" s="1243" t="str">
        <f>$J$9</f>
        <v>Healthcare</v>
      </c>
      <c r="K216" s="1243" t="str">
        <f>$K$9</f>
        <v>Prison</v>
      </c>
      <c r="L216" s="1243" t="str">
        <f>$L$9</f>
        <v>Law Court</v>
      </c>
      <c r="M216" s="1247" t="str">
        <f>$M$9</f>
        <v>Residential institution (long term stay)</v>
      </c>
      <c r="N216" s="918" t="str">
        <f>$N$9</f>
        <v>Residential institution (short term stay)</v>
      </c>
      <c r="O216" s="918" t="str">
        <f>$O$9</f>
        <v>Non-residential institution</v>
      </c>
      <c r="P216" s="918" t="str">
        <f>$P$9</f>
        <v>Assembly and leisure</v>
      </c>
      <c r="Q216" s="1243" t="str">
        <f>$Q$9</f>
        <v>Education</v>
      </c>
      <c r="R216" s="857" t="str">
        <f>$R$9</f>
        <v>Other</v>
      </c>
      <c r="T216" s="138" t="str">
        <f>$E$6</f>
        <v>Office</v>
      </c>
      <c r="U216" s="210"/>
      <c r="V216" s="211"/>
      <c r="W216" s="211"/>
      <c r="X216" s="1163"/>
      <c r="Y216" s="1176" t="s">
        <v>411</v>
      </c>
      <c r="Z216" s="1174" t="s">
        <v>334</v>
      </c>
      <c r="AA216" s="150" t="s">
        <v>213</v>
      </c>
      <c r="AB216" s="59" t="s">
        <v>15</v>
      </c>
      <c r="AI216" s="42"/>
      <c r="AJ216" s="60"/>
      <c r="AK216" s="60"/>
      <c r="AM216" s="139"/>
      <c r="AN216" s="139"/>
      <c r="AO216" s="139"/>
      <c r="AP216" s="139"/>
      <c r="AQ216" s="139"/>
      <c r="AR216" s="139"/>
      <c r="AS216" s="139"/>
      <c r="AT216" s="139"/>
      <c r="AU216" s="139"/>
      <c r="AV216" s="139"/>
      <c r="AW216" s="139"/>
      <c r="AY216" s="97"/>
      <c r="AZ216" s="97"/>
      <c r="BA216" s="97"/>
      <c r="BB216" s="97"/>
      <c r="BC216" s="97"/>
      <c r="BO216" s="60"/>
      <c r="BP216" s="60"/>
      <c r="BQ216" s="60"/>
      <c r="BR216" s="60"/>
      <c r="BS216" s="60"/>
      <c r="BT216" s="60"/>
      <c r="BW216" s="146"/>
      <c r="BX216" s="146" t="str">
        <f>E216</f>
        <v>BREEAM innovation credits</v>
      </c>
      <c r="BY216" s="146" t="str">
        <f>IFERROR(VLOOKUP($E216,'Pre-Assessment Estimator'!$E$11:$AI$228,'Pre-Assessment Estimator'!AI$2,FALSE),"")</f>
        <v/>
      </c>
      <c r="BZ216" s="146" t="str">
        <f t="shared" si="567"/>
        <v/>
      </c>
      <c r="CA216" s="146" t="str">
        <f t="shared" si="568"/>
        <v/>
      </c>
      <c r="CB216" s="146"/>
      <c r="CC216" s="96" t="str">
        <f t="shared" si="569"/>
        <v/>
      </c>
    </row>
    <row r="217" spans="1:85" x14ac:dyDescent="0.25">
      <c r="A217" s="96">
        <v>209</v>
      </c>
      <c r="B217" s="130" t="str">
        <f>D217</f>
        <v>Inn 01</v>
      </c>
      <c r="C217" s="96" t="s">
        <v>93</v>
      </c>
      <c r="D217" s="313" t="s">
        <v>189</v>
      </c>
      <c r="E217" s="177" t="str">
        <f t="shared" ref="E217:E230" si="570">D217&amp;" - "&amp;E262</f>
        <v xml:space="preserve">Inn 01 - Man 03: Reduction of direct emissions from construction sites </v>
      </c>
      <c r="F217" s="953">
        <v>1</v>
      </c>
      <c r="G217" s="953">
        <v>1</v>
      </c>
      <c r="H217" s="953">
        <v>1</v>
      </c>
      <c r="I217" s="953">
        <v>1</v>
      </c>
      <c r="J217" s="953">
        <v>1</v>
      </c>
      <c r="K217" s="953">
        <v>1</v>
      </c>
      <c r="L217" s="953">
        <v>1</v>
      </c>
      <c r="M217" s="953">
        <v>1</v>
      </c>
      <c r="N217" s="953">
        <v>1</v>
      </c>
      <c r="O217" s="953">
        <v>1</v>
      </c>
      <c r="P217" s="953">
        <v>1</v>
      </c>
      <c r="Q217" s="1128">
        <v>1</v>
      </c>
      <c r="R217" s="1128">
        <v>1</v>
      </c>
      <c r="T217" s="212">
        <f t="shared" ref="T217:T231" si="571">HLOOKUP($E$6,$F$9:$R$231,$A217,FALSE)</f>
        <v>1</v>
      </c>
      <c r="U217" s="166"/>
      <c r="V217" s="167"/>
      <c r="W217" s="167"/>
      <c r="X217" s="168">
        <f>'Manuell filtrering og justering'!E94</f>
        <v>0</v>
      </c>
      <c r="Y217" s="169"/>
      <c r="Z217" s="1158">
        <f>VLOOKUP(B217,'Manuell filtrering og justering'!$A$7:$H$253,'Manuell filtrering og justering'!$H$1,FALSE)</f>
        <v>1</v>
      </c>
      <c r="AA217" s="169">
        <f t="shared" ref="AA217:AA230" si="572">IF(SUM(U217:Y217)&gt;T217,T217,SUM(U217:Y217))</f>
        <v>0</v>
      </c>
      <c r="AB217" s="170">
        <f>IF($AC$5='Manuell filtrering og justering'!$J$2,Z217,(T217-AA217))</f>
        <v>1</v>
      </c>
      <c r="AD217" s="171">
        <f>(Inn_Weight/Inn_Credits)*Inn01_credits</f>
        <v>0.01</v>
      </c>
      <c r="AE217" s="171">
        <f t="shared" ref="AE217:AE230" si="573">IF(AB217=0,0,(AD217/AB217)*AI217)</f>
        <v>0</v>
      </c>
      <c r="AF217" s="171">
        <f t="shared" ref="AF217:AF230" si="574">IF(AB217=0,0,(AD217/AB217)*AJ217)</f>
        <v>0</v>
      </c>
      <c r="AG217" s="171">
        <f t="shared" ref="AG217:AG230" si="575">IF(AB217=0,0,(AD217/AB217)*AK217)</f>
        <v>0</v>
      </c>
      <c r="AI217" s="214">
        <f>IF(VLOOKUP(E217,'Pre-Assessment Estimator'!$E$11:$Z$228,'Pre-Assessment Estimator'!$G$2,FALSE)&gt;AB217,AB217,VLOOKUP(E217,'Pre-Assessment Estimator'!$E$11:$Z$228,'Pre-Assessment Estimator'!$G$2,FALSE))</f>
        <v>0</v>
      </c>
      <c r="AJ217" s="172">
        <f>IF(VLOOKUP(E217,'Pre-Assessment Estimator'!$E$11:$Z$228,'Pre-Assessment Estimator'!$N$2,FALSE)&gt;AB217,AB217,VLOOKUP(E217,'Pre-Assessment Estimator'!$E$11:$Z$228,'Pre-Assessment Estimator'!$N$2,FALSE))</f>
        <v>0</v>
      </c>
      <c r="AK217" s="172">
        <f>IF(VLOOKUP(E217,'Pre-Assessment Estimator'!$E$11:$Z$228,'Pre-Assessment Estimator'!$U$2,FALSE)&gt;AB217,AB217,VLOOKUP(E217,'Pre-Assessment Estimator'!$E$11:$Z$228,'Pre-Assessment Estimator'!$U$2,FALSE))</f>
        <v>0</v>
      </c>
      <c r="AM217" s="298"/>
      <c r="AN217" s="299"/>
      <c r="AO217" s="299"/>
      <c r="AP217" s="299"/>
      <c r="AQ217" s="721"/>
      <c r="AR217" s="139"/>
      <c r="AS217" s="298"/>
      <c r="AT217" s="299"/>
      <c r="AU217" s="299"/>
      <c r="AV217" s="299"/>
      <c r="AW217" s="300"/>
      <c r="AY217" s="218"/>
      <c r="AZ217" s="219"/>
      <c r="BA217" s="219"/>
      <c r="BB217" s="219"/>
      <c r="BC217" s="716">
        <f t="shared" si="543"/>
        <v>0</v>
      </c>
      <c r="BD217" s="174">
        <f t="shared" si="464"/>
        <v>9</v>
      </c>
      <c r="BE217" s="164" t="str">
        <f t="shared" ref="BE217:BE230" si="576">VLOOKUP(BD217,$BO$285:$BT$291,6,FALSE)</f>
        <v>N/A</v>
      </c>
      <c r="BF217" s="178"/>
      <c r="BG217" s="174">
        <f t="shared" ref="BG217:BG225" si="577">IF(BC217=0,9,IF(AJ217&gt;=BC217,5,IF(AJ217&gt;=BB217,4,IF(AJ217&gt;=BA217,3,IF(AJ217&gt;=AZ217,2,IF(AJ217&lt;AY217,0,1))))))</f>
        <v>9</v>
      </c>
      <c r="BH217" s="164" t="str">
        <f t="shared" ref="BH217:BH230" si="578">VLOOKUP(BG217,$BO$285:$BT$291,6,FALSE)</f>
        <v>N/A</v>
      </c>
      <c r="BI217" s="178"/>
      <c r="BJ217" s="174">
        <f t="shared" si="447"/>
        <v>9</v>
      </c>
      <c r="BK217" s="164" t="str">
        <f t="shared" ref="BK217:BK230" si="579">VLOOKUP(BJ217,$BO$285:$BT$291,6,FALSE)</f>
        <v>N/A</v>
      </c>
      <c r="BL217" s="178"/>
      <c r="BO217" s="167"/>
      <c r="BP217" s="167"/>
      <c r="BQ217" s="167" t="str">
        <f t="shared" si="554"/>
        <v/>
      </c>
      <c r="BR217" s="167">
        <f t="shared" si="399"/>
        <v>9</v>
      </c>
      <c r="BS217" s="167">
        <f t="shared" si="400"/>
        <v>9</v>
      </c>
      <c r="BT217" s="167">
        <f t="shared" si="401"/>
        <v>9</v>
      </c>
      <c r="BW217" s="164" t="str">
        <f t="shared" ref="BW217:BW225" si="580">D217</f>
        <v>Inn 01</v>
      </c>
      <c r="BX217" s="164" t="str">
        <f>IFERROR(VLOOKUP($E217,'Pre-Assessment Estimator'!$E$11:$AB$228,'Pre-Assessment Estimator'!AB$2,FALSE),"")</f>
        <v>N/A</v>
      </c>
      <c r="BY217" s="164">
        <f>IFERROR(VLOOKUP($E217,'Pre-Assessment Estimator'!$E$11:$AI$228,'Pre-Assessment Estimator'!AI$2,FALSE),"")</f>
        <v>0</v>
      </c>
      <c r="BZ217" s="164">
        <f t="shared" si="567"/>
        <v>1</v>
      </c>
      <c r="CA217" s="164">
        <f t="shared" si="568"/>
        <v>0</v>
      </c>
      <c r="CB217" s="164"/>
      <c r="CC217" s="96" t="str">
        <f t="shared" si="569"/>
        <v/>
      </c>
    </row>
    <row r="218" spans="1:85" x14ac:dyDescent="0.25">
      <c r="A218" s="96">
        <v>210</v>
      </c>
      <c r="B218" s="130" t="str">
        <f t="shared" ref="B218:B230" si="581">D218</f>
        <v>Inn 02</v>
      </c>
      <c r="C218" s="96" t="s">
        <v>116</v>
      </c>
      <c r="D218" s="166" t="s">
        <v>190</v>
      </c>
      <c r="E218" s="1181" t="str">
        <f t="shared" si="570"/>
        <v xml:space="preserve">Inn 02 - Hea 01: View out, high level </v>
      </c>
      <c r="F218" s="775">
        <v>1</v>
      </c>
      <c r="G218" s="775">
        <v>1</v>
      </c>
      <c r="H218" s="775">
        <v>1</v>
      </c>
      <c r="I218" s="775">
        <v>1</v>
      </c>
      <c r="J218" s="775">
        <v>1</v>
      </c>
      <c r="K218" s="775">
        <v>1</v>
      </c>
      <c r="L218" s="775">
        <v>1</v>
      </c>
      <c r="M218" s="775">
        <v>1</v>
      </c>
      <c r="N218" s="775">
        <v>1</v>
      </c>
      <c r="O218" s="775">
        <v>1</v>
      </c>
      <c r="P218" s="775">
        <v>1</v>
      </c>
      <c r="Q218" s="1129">
        <v>1</v>
      </c>
      <c r="R218" s="1129">
        <v>1</v>
      </c>
      <c r="T218" s="221">
        <f t="shared" si="571"/>
        <v>1</v>
      </c>
      <c r="U218" s="166"/>
      <c r="V218" s="167"/>
      <c r="W218" s="167"/>
      <c r="X218" s="168">
        <f>'Manuell filtrering og justering'!E95</f>
        <v>0</v>
      </c>
      <c r="Y218" s="169"/>
      <c r="Z218" s="1158">
        <f>VLOOKUP(B218,'Manuell filtrering og justering'!$A$7:$H$253,'Manuell filtrering og justering'!$H$1,FALSE)</f>
        <v>0</v>
      </c>
      <c r="AA218" s="169">
        <f t="shared" si="572"/>
        <v>0</v>
      </c>
      <c r="AB218" s="170">
        <f>IF($AC$5='Manuell filtrering og justering'!$J$2,Z218,(T218-AA218))</f>
        <v>1</v>
      </c>
      <c r="AD218" s="171">
        <f>(Inn_Weight/Inn_Credits)*Inn02_credits</f>
        <v>0.01</v>
      </c>
      <c r="AE218" s="171">
        <f t="shared" si="573"/>
        <v>0</v>
      </c>
      <c r="AF218" s="171">
        <f t="shared" si="574"/>
        <v>0</v>
      </c>
      <c r="AG218" s="171">
        <f t="shared" si="575"/>
        <v>0</v>
      </c>
      <c r="AI218" s="214">
        <f>IF(VLOOKUP(E218,'Pre-Assessment Estimator'!$E$11:$Z$228,'Pre-Assessment Estimator'!$G$2,FALSE)&gt;AB218,AB218,VLOOKUP(E218,'Pre-Assessment Estimator'!$E$11:$Z$228,'Pre-Assessment Estimator'!$G$2,FALSE))</f>
        <v>0</v>
      </c>
      <c r="AJ218" s="172">
        <f>IF(VLOOKUP(E218,'Pre-Assessment Estimator'!$E$11:$Z$228,'Pre-Assessment Estimator'!$N$2,FALSE)&gt;AB218,AB218,VLOOKUP(E218,'Pre-Assessment Estimator'!$E$11:$Z$228,'Pre-Assessment Estimator'!$N$2,FALSE))</f>
        <v>0</v>
      </c>
      <c r="AK218" s="172">
        <f>IF(VLOOKUP(E218,'Pre-Assessment Estimator'!$E$11:$Z$228,'Pre-Assessment Estimator'!$U$2,FALSE)&gt;AB218,AB218,VLOOKUP(E218,'Pre-Assessment Estimator'!$E$11:$Z$228,'Pre-Assessment Estimator'!$U$2,FALSE))</f>
        <v>0</v>
      </c>
      <c r="AM218" s="292"/>
      <c r="AN218" s="293"/>
      <c r="AO218" s="293"/>
      <c r="AP218" s="293"/>
      <c r="AQ218" s="722"/>
      <c r="AR218" s="139"/>
      <c r="AS218" s="292"/>
      <c r="AT218" s="293"/>
      <c r="AU218" s="293"/>
      <c r="AV218" s="293"/>
      <c r="AW218" s="294"/>
      <c r="AY218" s="188"/>
      <c r="AZ218" s="189"/>
      <c r="BA218" s="189"/>
      <c r="BB218" s="189"/>
      <c r="BC218" s="717">
        <f t="shared" si="543"/>
        <v>0</v>
      </c>
      <c r="BD218" s="182">
        <f t="shared" si="464"/>
        <v>9</v>
      </c>
      <c r="BE218" s="164" t="str">
        <f t="shared" si="576"/>
        <v>N/A</v>
      </c>
      <c r="BF218" s="185"/>
      <c r="BG218" s="182">
        <f t="shared" si="577"/>
        <v>9</v>
      </c>
      <c r="BH218" s="164" t="str">
        <f t="shared" si="578"/>
        <v>N/A</v>
      </c>
      <c r="BI218" s="185"/>
      <c r="BJ218" s="182">
        <f t="shared" si="447"/>
        <v>9</v>
      </c>
      <c r="BK218" s="164" t="str">
        <f t="shared" si="579"/>
        <v>N/A</v>
      </c>
      <c r="BL218" s="185"/>
      <c r="BO218" s="167"/>
      <c r="BP218" s="167"/>
      <c r="BQ218" s="167" t="str">
        <f t="shared" si="554"/>
        <v/>
      </c>
      <c r="BR218" s="167">
        <f t="shared" si="399"/>
        <v>9</v>
      </c>
      <c r="BS218" s="167">
        <f t="shared" si="400"/>
        <v>9</v>
      </c>
      <c r="BT218" s="167">
        <f t="shared" si="401"/>
        <v>9</v>
      </c>
      <c r="BW218" s="167" t="str">
        <f t="shared" si="580"/>
        <v>Inn 02</v>
      </c>
      <c r="BX218" s="167" t="str">
        <f>IFERROR(VLOOKUP($E218,'Pre-Assessment Estimator'!$E$11:$AB$228,'Pre-Assessment Estimator'!AB$2,FALSE),"")</f>
        <v>N/A</v>
      </c>
      <c r="BY218" s="167">
        <f>IFERROR(VLOOKUP($E218,'Pre-Assessment Estimator'!$E$11:$AI$228,'Pre-Assessment Estimator'!AI$2,FALSE),"")</f>
        <v>0</v>
      </c>
      <c r="BZ218" s="167">
        <f t="shared" si="567"/>
        <v>1</v>
      </c>
      <c r="CA218" s="167">
        <f t="shared" si="568"/>
        <v>0</v>
      </c>
      <c r="CB218" s="167"/>
      <c r="CC218" s="96" t="str">
        <f t="shared" si="569"/>
        <v/>
      </c>
    </row>
    <row r="219" spans="1:85" x14ac:dyDescent="0.25">
      <c r="A219" s="96">
        <v>211</v>
      </c>
      <c r="B219" s="130" t="str">
        <f t="shared" si="581"/>
        <v>Inn 03</v>
      </c>
      <c r="C219" s="96" t="s">
        <v>117</v>
      </c>
      <c r="D219" s="166" t="s">
        <v>191</v>
      </c>
      <c r="E219" s="167" t="str">
        <f t="shared" si="570"/>
        <v>Inn 03 - Hea 02: Emissions from construction products</v>
      </c>
      <c r="F219" s="775">
        <v>1</v>
      </c>
      <c r="G219" s="775">
        <v>1</v>
      </c>
      <c r="H219" s="775">
        <v>1</v>
      </c>
      <c r="I219" s="775">
        <v>1</v>
      </c>
      <c r="J219" s="775">
        <v>1</v>
      </c>
      <c r="K219" s="775">
        <v>1</v>
      </c>
      <c r="L219" s="775">
        <v>1</v>
      </c>
      <c r="M219" s="775">
        <v>1</v>
      </c>
      <c r="N219" s="775">
        <v>1</v>
      </c>
      <c r="O219" s="775">
        <v>1</v>
      </c>
      <c r="P219" s="775">
        <v>1</v>
      </c>
      <c r="Q219" s="1129">
        <v>1</v>
      </c>
      <c r="R219" s="1129">
        <v>1</v>
      </c>
      <c r="T219" s="221">
        <f t="shared" si="571"/>
        <v>1</v>
      </c>
      <c r="U219" s="166">
        <f>IF(Hea02_credits=0,T219,0)</f>
        <v>0</v>
      </c>
      <c r="V219" s="167"/>
      <c r="W219" s="167"/>
      <c r="X219" s="168">
        <f>'Manuell filtrering og justering'!E96</f>
        <v>0</v>
      </c>
      <c r="Y219" s="169">
        <f>IF($Y$4=$Y$6,T219,0)</f>
        <v>0</v>
      </c>
      <c r="Z219" s="1158">
        <f>VLOOKUP(B219,'Manuell filtrering og justering'!$A$7:$H$253,'Manuell filtrering og justering'!$H$1,FALSE)</f>
        <v>1</v>
      </c>
      <c r="AA219" s="169">
        <f t="shared" si="572"/>
        <v>0</v>
      </c>
      <c r="AB219" s="170">
        <f>IF($AC$5='Manuell filtrering og justering'!$J$2,Z219,(T219-AA219))</f>
        <v>1</v>
      </c>
      <c r="AD219" s="171">
        <f>(Inn_Weight/Inn_Credits)*Inn03_credits</f>
        <v>0.01</v>
      </c>
      <c r="AE219" s="171">
        <f t="shared" si="573"/>
        <v>0</v>
      </c>
      <c r="AF219" s="171">
        <f t="shared" si="574"/>
        <v>0</v>
      </c>
      <c r="AG219" s="171">
        <f t="shared" si="575"/>
        <v>0</v>
      </c>
      <c r="AI219" s="214">
        <f>IF(VLOOKUP(E219,'Pre-Assessment Estimator'!$E$11:$Z$228,'Pre-Assessment Estimator'!$G$2,FALSE)&gt;AB219,AB219,VLOOKUP(E219,'Pre-Assessment Estimator'!$E$11:$Z$228,'Pre-Assessment Estimator'!$G$2,FALSE))</f>
        <v>0</v>
      </c>
      <c r="AJ219" s="172">
        <f>IF(VLOOKUP(E219,'Pre-Assessment Estimator'!$E$11:$Z$228,'Pre-Assessment Estimator'!$N$2,FALSE)&gt;AB219,AB219,VLOOKUP(E219,'Pre-Assessment Estimator'!$E$11:$Z$228,'Pre-Assessment Estimator'!$N$2,FALSE))</f>
        <v>0</v>
      </c>
      <c r="AK219" s="172">
        <f>IF(VLOOKUP(E219,'Pre-Assessment Estimator'!$E$11:$Z$228,'Pre-Assessment Estimator'!$U$2,FALSE)&gt;AB219,AB219,VLOOKUP(E219,'Pre-Assessment Estimator'!$E$11:$Z$228,'Pre-Assessment Estimator'!$U$2,FALSE))</f>
        <v>0</v>
      </c>
      <c r="AM219" s="292"/>
      <c r="AN219" s="293"/>
      <c r="AO219" s="293"/>
      <c r="AP219" s="293"/>
      <c r="AQ219" s="722"/>
      <c r="AR219" s="139"/>
      <c r="AS219" s="292"/>
      <c r="AT219" s="293"/>
      <c r="AU219" s="293"/>
      <c r="AV219" s="293"/>
      <c r="AW219" s="294"/>
      <c r="AY219" s="188"/>
      <c r="AZ219" s="189"/>
      <c r="BA219" s="189"/>
      <c r="BB219" s="189"/>
      <c r="BC219" s="717">
        <f t="shared" si="543"/>
        <v>0</v>
      </c>
      <c r="BD219" s="182">
        <f t="shared" si="464"/>
        <v>9</v>
      </c>
      <c r="BE219" s="164" t="str">
        <f t="shared" si="576"/>
        <v>N/A</v>
      </c>
      <c r="BF219" s="185"/>
      <c r="BG219" s="182">
        <f t="shared" si="577"/>
        <v>9</v>
      </c>
      <c r="BH219" s="164" t="str">
        <f t="shared" si="578"/>
        <v>N/A</v>
      </c>
      <c r="BI219" s="185"/>
      <c r="BJ219" s="182">
        <f t="shared" si="447"/>
        <v>9</v>
      </c>
      <c r="BK219" s="164" t="str">
        <f t="shared" si="579"/>
        <v>N/A</v>
      </c>
      <c r="BL219" s="185"/>
      <c r="BO219" s="167"/>
      <c r="BP219" s="167"/>
      <c r="BQ219" s="167" t="str">
        <f t="shared" si="554"/>
        <v/>
      </c>
      <c r="BR219" s="167">
        <f t="shared" si="399"/>
        <v>9</v>
      </c>
      <c r="BS219" s="167">
        <f t="shared" si="400"/>
        <v>9</v>
      </c>
      <c r="BT219" s="167">
        <f t="shared" si="401"/>
        <v>9</v>
      </c>
      <c r="BW219" s="167" t="str">
        <f t="shared" si="580"/>
        <v>Inn 03</v>
      </c>
      <c r="BX219" s="167" t="str">
        <f>IFERROR(VLOOKUP($E219,'Pre-Assessment Estimator'!$E$11:$AB$228,'Pre-Assessment Estimator'!AB$2,FALSE),"")</f>
        <v>N/A</v>
      </c>
      <c r="BY219" s="167">
        <f>IFERROR(VLOOKUP($E219,'Pre-Assessment Estimator'!$E$11:$AI$228,'Pre-Assessment Estimator'!AI$2,FALSE),"")</f>
        <v>0</v>
      </c>
      <c r="BZ219" s="167">
        <f t="shared" si="567"/>
        <v>1</v>
      </c>
      <c r="CA219" s="167">
        <f t="shared" si="568"/>
        <v>0</v>
      </c>
      <c r="CB219" s="167"/>
      <c r="CC219" s="96" t="str">
        <f t="shared" si="569"/>
        <v/>
      </c>
    </row>
    <row r="220" spans="1:85" x14ac:dyDescent="0.25">
      <c r="A220" s="96">
        <v>212</v>
      </c>
      <c r="B220" s="130" t="str">
        <f t="shared" si="581"/>
        <v>Inn 04</v>
      </c>
      <c r="C220" s="96" t="s">
        <v>121</v>
      </c>
      <c r="D220" s="166" t="s">
        <v>192</v>
      </c>
      <c r="E220" s="167" t="str">
        <f t="shared" si="570"/>
        <v xml:space="preserve">Inn 04 - Hea 06: Biofilik design </v>
      </c>
      <c r="F220" s="775">
        <v>1</v>
      </c>
      <c r="G220" s="775">
        <v>1</v>
      </c>
      <c r="H220" s="775">
        <v>1</v>
      </c>
      <c r="I220" s="775">
        <v>1</v>
      </c>
      <c r="J220" s="775">
        <v>1</v>
      </c>
      <c r="K220" s="775">
        <v>1</v>
      </c>
      <c r="L220" s="775">
        <v>1</v>
      </c>
      <c r="M220" s="775">
        <v>1</v>
      </c>
      <c r="N220" s="775">
        <v>1</v>
      </c>
      <c r="O220" s="775">
        <v>1</v>
      </c>
      <c r="P220" s="775">
        <v>1</v>
      </c>
      <c r="Q220" s="1129">
        <v>1</v>
      </c>
      <c r="R220" s="1129">
        <v>1</v>
      </c>
      <c r="T220" s="221">
        <f t="shared" si="571"/>
        <v>1</v>
      </c>
      <c r="U220" s="166"/>
      <c r="V220" s="167"/>
      <c r="W220" s="167"/>
      <c r="X220" s="168">
        <f>'Manuell filtrering og justering'!E97</f>
        <v>0</v>
      </c>
      <c r="Y220" s="169">
        <f>IF(OR($Y$4=$Y$5,$Y$4=$Y$6),T220,0)</f>
        <v>0</v>
      </c>
      <c r="Z220" s="1158">
        <f>VLOOKUP(B220,'Manuell filtrering og justering'!$A$7:$H$253,'Manuell filtrering og justering'!$H$1,FALSE)</f>
        <v>1</v>
      </c>
      <c r="AA220" s="169">
        <f t="shared" si="572"/>
        <v>0</v>
      </c>
      <c r="AB220" s="170">
        <f>IF($AC$5='Manuell filtrering og justering'!$J$2,Z220,(T220-AA220))</f>
        <v>1</v>
      </c>
      <c r="AD220" s="171">
        <f>(Inn_Weight/Inn_Credits)*Inn04_credits</f>
        <v>0.01</v>
      </c>
      <c r="AE220" s="171">
        <f t="shared" si="573"/>
        <v>0</v>
      </c>
      <c r="AF220" s="171">
        <f t="shared" si="574"/>
        <v>0</v>
      </c>
      <c r="AG220" s="171">
        <f t="shared" si="575"/>
        <v>0</v>
      </c>
      <c r="AI220" s="214">
        <f>IF(VLOOKUP(E220,'Pre-Assessment Estimator'!$E$11:$Z$228,'Pre-Assessment Estimator'!$G$2,FALSE)&gt;AB220,AB220,VLOOKUP(E220,'Pre-Assessment Estimator'!$E$11:$Z$228,'Pre-Assessment Estimator'!$G$2,FALSE))</f>
        <v>0</v>
      </c>
      <c r="AJ220" s="172">
        <f>IF(VLOOKUP(E220,'Pre-Assessment Estimator'!$E$11:$Z$228,'Pre-Assessment Estimator'!$N$2,FALSE)&gt;AB220,AB220,VLOOKUP(E220,'Pre-Assessment Estimator'!$E$11:$Z$228,'Pre-Assessment Estimator'!$N$2,FALSE))</f>
        <v>0</v>
      </c>
      <c r="AK220" s="172">
        <f>IF(VLOOKUP(E220,'Pre-Assessment Estimator'!$E$11:$Z$228,'Pre-Assessment Estimator'!$U$2,FALSE)&gt;AB220,AB220,VLOOKUP(E220,'Pre-Assessment Estimator'!$E$11:$Z$228,'Pre-Assessment Estimator'!$U$2,FALSE))</f>
        <v>0</v>
      </c>
      <c r="AM220" s="292"/>
      <c r="AN220" s="293"/>
      <c r="AO220" s="293"/>
      <c r="AP220" s="293"/>
      <c r="AQ220" s="722"/>
      <c r="AR220" s="139"/>
      <c r="AS220" s="292"/>
      <c r="AT220" s="293"/>
      <c r="AU220" s="293"/>
      <c r="AV220" s="293"/>
      <c r="AW220" s="294"/>
      <c r="AY220" s="188"/>
      <c r="AZ220" s="189"/>
      <c r="BA220" s="189"/>
      <c r="BB220" s="189"/>
      <c r="BC220" s="717">
        <f t="shared" si="543"/>
        <v>0</v>
      </c>
      <c r="BD220" s="182">
        <f t="shared" si="464"/>
        <v>9</v>
      </c>
      <c r="BE220" s="164" t="str">
        <f t="shared" si="576"/>
        <v>N/A</v>
      </c>
      <c r="BF220" s="185"/>
      <c r="BG220" s="182">
        <f t="shared" si="577"/>
        <v>9</v>
      </c>
      <c r="BH220" s="164" t="str">
        <f t="shared" si="578"/>
        <v>N/A</v>
      </c>
      <c r="BI220" s="185"/>
      <c r="BJ220" s="182">
        <f t="shared" si="447"/>
        <v>9</v>
      </c>
      <c r="BK220" s="164" t="str">
        <f t="shared" si="579"/>
        <v>N/A</v>
      </c>
      <c r="BL220" s="185"/>
      <c r="BO220" s="167"/>
      <c r="BP220" s="167"/>
      <c r="BQ220" s="167" t="str">
        <f t="shared" si="554"/>
        <v/>
      </c>
      <c r="BR220" s="167">
        <f t="shared" si="399"/>
        <v>9</v>
      </c>
      <c r="BS220" s="167">
        <f t="shared" si="400"/>
        <v>9</v>
      </c>
      <c r="BT220" s="167">
        <f t="shared" si="401"/>
        <v>9</v>
      </c>
      <c r="BW220" s="167" t="str">
        <f t="shared" si="580"/>
        <v>Inn 04</v>
      </c>
      <c r="BX220" s="167" t="str">
        <f>IFERROR(VLOOKUP($E220,'Pre-Assessment Estimator'!$E$11:$AB$228,'Pre-Assessment Estimator'!AB$2,FALSE),"")</f>
        <v>N/A</v>
      </c>
      <c r="BY220" s="167">
        <f>IFERROR(VLOOKUP($E220,'Pre-Assessment Estimator'!$E$11:$AI$228,'Pre-Assessment Estimator'!AI$2,FALSE),"")</f>
        <v>0</v>
      </c>
      <c r="BZ220" s="167">
        <f t="shared" si="567"/>
        <v>1</v>
      </c>
      <c r="CA220" s="167">
        <f t="shared" si="568"/>
        <v>0</v>
      </c>
      <c r="CB220" s="167"/>
      <c r="CC220" s="96" t="str">
        <f t="shared" si="569"/>
        <v/>
      </c>
    </row>
    <row r="221" spans="1:85" x14ac:dyDescent="0.25">
      <c r="A221" s="96">
        <v>213</v>
      </c>
      <c r="B221" s="130" t="str">
        <f t="shared" si="581"/>
        <v>Inn 05</v>
      </c>
      <c r="C221" s="96" t="s">
        <v>134</v>
      </c>
      <c r="D221" s="166" t="s">
        <v>193</v>
      </c>
      <c r="E221" s="1131" t="str">
        <f t="shared" si="570"/>
        <v xml:space="preserve">Inn 05 - Ene 01: Post-occupancy stage </v>
      </c>
      <c r="F221" s="767">
        <v>2</v>
      </c>
      <c r="G221" s="767">
        <v>2</v>
      </c>
      <c r="H221" s="767">
        <v>2</v>
      </c>
      <c r="I221" s="767">
        <v>2</v>
      </c>
      <c r="J221" s="767">
        <v>2</v>
      </c>
      <c r="K221" s="767">
        <v>2</v>
      </c>
      <c r="L221" s="767">
        <v>2</v>
      </c>
      <c r="M221" s="767">
        <v>2</v>
      </c>
      <c r="N221" s="767">
        <v>2</v>
      </c>
      <c r="O221" s="767">
        <v>2</v>
      </c>
      <c r="P221" s="767">
        <v>2</v>
      </c>
      <c r="Q221" s="768">
        <v>2</v>
      </c>
      <c r="R221" s="768">
        <v>2</v>
      </c>
      <c r="T221" s="221">
        <f t="shared" si="571"/>
        <v>2</v>
      </c>
      <c r="U221" s="166"/>
      <c r="V221" s="167"/>
      <c r="W221" s="167"/>
      <c r="X221" s="168">
        <f>'Manuell filtrering og justering'!E98</f>
        <v>0</v>
      </c>
      <c r="Y221" s="169">
        <f>IF($Y$4=$Y$6,T221,0)</f>
        <v>0</v>
      </c>
      <c r="Z221" s="1158">
        <f>VLOOKUP(B221,'Manuell filtrering og justering'!$A$7:$H$253,'Manuell filtrering og justering'!$H$1,FALSE)</f>
        <v>4</v>
      </c>
      <c r="AA221" s="169">
        <f t="shared" si="572"/>
        <v>0</v>
      </c>
      <c r="AB221" s="170">
        <f>IF($AC$5='Manuell filtrering og justering'!$J$2,Z221,(T221-AA221))</f>
        <v>2</v>
      </c>
      <c r="AD221" s="171">
        <f>(Inn_Weight/Inn_Credits)*Inn05_credits</f>
        <v>0.02</v>
      </c>
      <c r="AE221" s="171">
        <f t="shared" si="573"/>
        <v>0</v>
      </c>
      <c r="AF221" s="171">
        <f t="shared" si="574"/>
        <v>0</v>
      </c>
      <c r="AG221" s="171">
        <f t="shared" si="575"/>
        <v>0</v>
      </c>
      <c r="AI221" s="1070">
        <f>IF(OR(AI74&lt;&gt;AB74,Ene02_user&lt;&gt;Ene02_credits),0,IF(VLOOKUP(E221,'Pre-Assessment Estimator'!$E$11:$Z$228,'Pre-Assessment Estimator'!$G$2,FALSE)&gt;AB221,AB221,VLOOKUP(E221,'Pre-Assessment Estimator'!$E$11:$Z$228,'Pre-Assessment Estimator'!$G$2,FALSE)))</f>
        <v>0</v>
      </c>
      <c r="AJ221" s="1067">
        <f>IF(OR(AJ74&lt;&gt;AB74,AJ75&lt;&gt;Ene02_credits),0,IF(VLOOKUP(E221,'Pre-Assessment Estimator'!$E$11:$Z$228,'Pre-Assessment Estimator'!$N$2,FALSE)&gt;AB221,AB221,VLOOKUP(E221,'Pre-Assessment Estimator'!$E$11:$Z$228,'Pre-Assessment Estimator'!$N$2,FALSE)))</f>
        <v>0</v>
      </c>
      <c r="AK221" s="1067">
        <f>IF(OR(AK74&lt;&gt;AB74,AK75&lt;&gt;Ene02_credits),0,IF(VLOOKUP(E221,'Pre-Assessment Estimator'!$E$11:$Z$228,'Pre-Assessment Estimator'!$U$2,FALSE)&gt;AB221,AB221,VLOOKUP(E221,'Pre-Assessment Estimator'!$E$11:$Z$228,'Pre-Assessment Estimator'!$U$2,FALSE)))</f>
        <v>0</v>
      </c>
      <c r="AM221" s="292"/>
      <c r="AN221" s="293"/>
      <c r="AO221" s="293"/>
      <c r="AP221" s="293"/>
      <c r="AQ221" s="722"/>
      <c r="AR221" s="139"/>
      <c r="AS221" s="292"/>
      <c r="AT221" s="293"/>
      <c r="AU221" s="293"/>
      <c r="AV221" s="293"/>
      <c r="AW221" s="294"/>
      <c r="AY221" s="188"/>
      <c r="AZ221" s="189"/>
      <c r="BA221" s="189"/>
      <c r="BB221" s="189"/>
      <c r="BC221" s="717">
        <f t="shared" si="543"/>
        <v>0</v>
      </c>
      <c r="BD221" s="182">
        <f t="shared" si="464"/>
        <v>9</v>
      </c>
      <c r="BE221" s="164" t="str">
        <f t="shared" si="576"/>
        <v>N/A</v>
      </c>
      <c r="BF221" s="185"/>
      <c r="BG221" s="182">
        <f t="shared" si="577"/>
        <v>9</v>
      </c>
      <c r="BH221" s="164" t="str">
        <f t="shared" si="578"/>
        <v>N/A</v>
      </c>
      <c r="BI221" s="185"/>
      <c r="BJ221" s="182">
        <f t="shared" si="447"/>
        <v>9</v>
      </c>
      <c r="BK221" s="164" t="str">
        <f t="shared" si="579"/>
        <v>N/A</v>
      </c>
      <c r="BL221" s="185"/>
      <c r="BO221" s="167"/>
      <c r="BP221" s="167"/>
      <c r="BQ221" s="167" t="str">
        <f t="shared" si="554"/>
        <v/>
      </c>
      <c r="BR221" s="167">
        <f t="shared" si="399"/>
        <v>9</v>
      </c>
      <c r="BS221" s="167">
        <f t="shared" si="400"/>
        <v>9</v>
      </c>
      <c r="BT221" s="167">
        <f t="shared" si="401"/>
        <v>9</v>
      </c>
      <c r="BW221" s="167" t="str">
        <f t="shared" si="580"/>
        <v>Inn 05</v>
      </c>
      <c r="BX221" s="167" t="str">
        <f>IFERROR(VLOOKUP($E221,'Pre-Assessment Estimator'!$E$11:$AB$228,'Pre-Assessment Estimator'!AB$2,FALSE),"")</f>
        <v>N/A</v>
      </c>
      <c r="BY221" s="167">
        <f>IFERROR(VLOOKUP($E221,'Pre-Assessment Estimator'!$E$11:$AI$228,'Pre-Assessment Estimator'!AI$2,FALSE),"")</f>
        <v>0</v>
      </c>
      <c r="BZ221" s="167">
        <f t="shared" si="567"/>
        <v>1</v>
      </c>
      <c r="CA221" s="167">
        <f t="shared" si="568"/>
        <v>0</v>
      </c>
      <c r="CB221" s="167"/>
      <c r="CC221" s="96" t="str">
        <f t="shared" si="569"/>
        <v/>
      </c>
    </row>
    <row r="222" spans="1:85" x14ac:dyDescent="0.25">
      <c r="A222" s="96">
        <v>214</v>
      </c>
      <c r="B222" s="130" t="str">
        <f t="shared" si="581"/>
        <v>Inn 06</v>
      </c>
      <c r="C222" s="96" t="s">
        <v>134</v>
      </c>
      <c r="D222" s="166" t="s">
        <v>194</v>
      </c>
      <c r="E222" s="1131" t="str">
        <f t="shared" si="570"/>
        <v xml:space="preserve">Inn 06 - Ene 01: Plus house </v>
      </c>
      <c r="F222" s="767">
        <v>1</v>
      </c>
      <c r="G222" s="767">
        <v>1</v>
      </c>
      <c r="H222" s="767">
        <v>1</v>
      </c>
      <c r="I222" s="767">
        <v>1</v>
      </c>
      <c r="J222" s="767">
        <v>1</v>
      </c>
      <c r="K222" s="767">
        <v>1</v>
      </c>
      <c r="L222" s="767">
        <v>1</v>
      </c>
      <c r="M222" s="767">
        <v>1</v>
      </c>
      <c r="N222" s="767">
        <v>1</v>
      </c>
      <c r="O222" s="767">
        <v>1</v>
      </c>
      <c r="P222" s="767">
        <v>1</v>
      </c>
      <c r="Q222" s="768">
        <v>1</v>
      </c>
      <c r="R222" s="768">
        <v>1</v>
      </c>
      <c r="T222" s="221">
        <f t="shared" si="571"/>
        <v>1</v>
      </c>
      <c r="U222" s="166"/>
      <c r="V222" s="167"/>
      <c r="W222" s="167"/>
      <c r="X222" s="168">
        <f>'Manuell filtrering og justering'!E99</f>
        <v>0</v>
      </c>
      <c r="Y222" s="169">
        <f>IF($Y$4=$Y$6,T222,0)</f>
        <v>0</v>
      </c>
      <c r="Z222" s="1158">
        <f>VLOOKUP(B222,'Manuell filtrering og justering'!$A$7:$H$253,'Manuell filtrering og justering'!$H$1,FALSE)</f>
        <v>1</v>
      </c>
      <c r="AA222" s="169">
        <f t="shared" si="572"/>
        <v>0</v>
      </c>
      <c r="AB222" s="170">
        <f>IF($AC$5='Manuell filtrering og justering'!$J$2,Z222,(T222-AA222))</f>
        <v>1</v>
      </c>
      <c r="AD222" s="171">
        <f>(Inn_Weight/Inn_Credits)*Inn06_credits</f>
        <v>0.01</v>
      </c>
      <c r="AE222" s="171">
        <f t="shared" si="573"/>
        <v>0</v>
      </c>
      <c r="AF222" s="171">
        <f t="shared" si="574"/>
        <v>0</v>
      </c>
      <c r="AG222" s="171">
        <f t="shared" si="575"/>
        <v>0</v>
      </c>
      <c r="AI222" s="214">
        <f>IF(VLOOKUP(E222,'Pre-Assessment Estimator'!$E$11:$Z$228,'Pre-Assessment Estimator'!$G$2,FALSE)&gt;AB222,AB222,VLOOKUP(E222,'Pre-Assessment Estimator'!$E$11:$Z$228,'Pre-Assessment Estimator'!$G$2,FALSE))</f>
        <v>0</v>
      </c>
      <c r="AJ222" s="172">
        <f>IF(VLOOKUP(E222,'Pre-Assessment Estimator'!$E$11:$Z$228,'Pre-Assessment Estimator'!$N$2,FALSE)&gt;AB222,AB222,VLOOKUP(E222,'Pre-Assessment Estimator'!$E$11:$Z$228,'Pre-Assessment Estimator'!$N$2,FALSE))</f>
        <v>0</v>
      </c>
      <c r="AK222" s="172">
        <f>IF(VLOOKUP(E222,'Pre-Assessment Estimator'!$E$11:$Z$228,'Pre-Assessment Estimator'!$U$2,FALSE)&gt;AB222,AB222,VLOOKUP(E222,'Pre-Assessment Estimator'!$E$11:$Z$228,'Pre-Assessment Estimator'!$U$2,FALSE))</f>
        <v>0</v>
      </c>
      <c r="AM222" s="292"/>
      <c r="AN222" s="293"/>
      <c r="AO222" s="293"/>
      <c r="AP222" s="293"/>
      <c r="AQ222" s="722"/>
      <c r="AR222" s="139"/>
      <c r="AS222" s="292"/>
      <c r="AT222" s="293"/>
      <c r="AU222" s="293"/>
      <c r="AV222" s="293"/>
      <c r="AW222" s="294"/>
      <c r="AY222" s="188"/>
      <c r="AZ222" s="189"/>
      <c r="BA222" s="189"/>
      <c r="BB222" s="189"/>
      <c r="BC222" s="717">
        <f t="shared" si="543"/>
        <v>0</v>
      </c>
      <c r="BD222" s="182">
        <f t="shared" si="464"/>
        <v>9</v>
      </c>
      <c r="BE222" s="164" t="str">
        <f t="shared" si="576"/>
        <v>N/A</v>
      </c>
      <c r="BF222" s="185"/>
      <c r="BG222" s="182">
        <f t="shared" si="577"/>
        <v>9</v>
      </c>
      <c r="BH222" s="164" t="str">
        <f t="shared" si="578"/>
        <v>N/A</v>
      </c>
      <c r="BI222" s="185"/>
      <c r="BJ222" s="182">
        <f t="shared" si="447"/>
        <v>9</v>
      </c>
      <c r="BK222" s="164" t="str">
        <f t="shared" si="579"/>
        <v>N/A</v>
      </c>
      <c r="BL222" s="185"/>
      <c r="BO222" s="167"/>
      <c r="BP222" s="167"/>
      <c r="BQ222" s="167" t="str">
        <f t="shared" si="554"/>
        <v/>
      </c>
      <c r="BR222" s="167">
        <f t="shared" si="399"/>
        <v>9</v>
      </c>
      <c r="BS222" s="167">
        <f t="shared" si="400"/>
        <v>9</v>
      </c>
      <c r="BT222" s="167">
        <f t="shared" si="401"/>
        <v>9</v>
      </c>
      <c r="BW222" s="167" t="str">
        <f t="shared" si="580"/>
        <v>Inn 06</v>
      </c>
      <c r="BX222" s="167" t="str">
        <f>IFERROR(VLOOKUP($E222,'Pre-Assessment Estimator'!$E$11:$AB$228,'Pre-Assessment Estimator'!AB$2,FALSE),"")</f>
        <v>N/A</v>
      </c>
      <c r="BY222" s="167">
        <f>IFERROR(VLOOKUP($E222,'Pre-Assessment Estimator'!$E$11:$AI$228,'Pre-Assessment Estimator'!AI$2,FALSE),"")</f>
        <v>0</v>
      </c>
      <c r="BZ222" s="167">
        <f t="shared" si="567"/>
        <v>1</v>
      </c>
      <c r="CA222" s="167">
        <f t="shared" si="568"/>
        <v>0</v>
      </c>
      <c r="CB222" s="167"/>
      <c r="CC222" s="96" t="str">
        <f t="shared" si="569"/>
        <v/>
      </c>
    </row>
    <row r="223" spans="1:85" x14ac:dyDescent="0.25">
      <c r="A223" s="96">
        <v>215</v>
      </c>
      <c r="B223" s="130" t="str">
        <f t="shared" si="581"/>
        <v>Inn 07</v>
      </c>
      <c r="C223" s="96" t="s">
        <v>168</v>
      </c>
      <c r="D223" s="166" t="s">
        <v>195</v>
      </c>
      <c r="E223" s="167" t="str">
        <f t="shared" si="570"/>
        <v>Inn 07 - Wat 01: Highly water efficient components</v>
      </c>
      <c r="F223" s="775">
        <v>1</v>
      </c>
      <c r="G223" s="775">
        <v>1</v>
      </c>
      <c r="H223" s="775">
        <v>1</v>
      </c>
      <c r="I223" s="775">
        <v>1</v>
      </c>
      <c r="J223" s="775">
        <v>1</v>
      </c>
      <c r="K223" s="775">
        <v>1</v>
      </c>
      <c r="L223" s="775">
        <v>1</v>
      </c>
      <c r="M223" s="775">
        <v>1</v>
      </c>
      <c r="N223" s="775">
        <v>1</v>
      </c>
      <c r="O223" s="775">
        <v>1</v>
      </c>
      <c r="P223" s="775">
        <v>1</v>
      </c>
      <c r="Q223" s="1129">
        <v>1</v>
      </c>
      <c r="R223" s="1129">
        <v>1</v>
      </c>
      <c r="T223" s="221">
        <f t="shared" si="571"/>
        <v>1</v>
      </c>
      <c r="U223" s="166"/>
      <c r="V223" s="167"/>
      <c r="W223" s="167"/>
      <c r="X223" s="168">
        <f>'Manuell filtrering og justering'!E100</f>
        <v>0</v>
      </c>
      <c r="Y223" s="169"/>
      <c r="Z223" s="1158">
        <f>VLOOKUP(B223,'Manuell filtrering og justering'!$A$7:$H$253,'Manuell filtrering og justering'!$H$1,FALSE)</f>
        <v>1</v>
      </c>
      <c r="AA223" s="169">
        <f t="shared" si="572"/>
        <v>0</v>
      </c>
      <c r="AB223" s="170">
        <f>IF($AC$5='Manuell filtrering og justering'!$J$2,Z223,(T223-AA223))</f>
        <v>1</v>
      </c>
      <c r="AD223" s="171">
        <f>(Inn_Weight/Inn_Credits)*Inn07_credits</f>
        <v>0.01</v>
      </c>
      <c r="AE223" s="171">
        <f t="shared" si="573"/>
        <v>0</v>
      </c>
      <c r="AF223" s="171">
        <f t="shared" si="574"/>
        <v>0</v>
      </c>
      <c r="AG223" s="171">
        <f t="shared" si="575"/>
        <v>0</v>
      </c>
      <c r="AI223" s="214">
        <f>IF(VLOOKUP(E223,'Pre-Assessment Estimator'!$E$11:$Z$228,'Pre-Assessment Estimator'!$G$2,FALSE)&gt;AB223,AB223,VLOOKUP(E223,'Pre-Assessment Estimator'!$E$11:$Z$228,'Pre-Assessment Estimator'!$G$2,FALSE))</f>
        <v>0</v>
      </c>
      <c r="AJ223" s="172">
        <f>IF(VLOOKUP(E223,'Pre-Assessment Estimator'!$E$11:$Z$228,'Pre-Assessment Estimator'!$N$2,FALSE)&gt;AB223,AB223,VLOOKUP(E223,'Pre-Assessment Estimator'!$E$11:$Z$228,'Pre-Assessment Estimator'!$N$2,FALSE))</f>
        <v>0</v>
      </c>
      <c r="AK223" s="172">
        <f>IF(VLOOKUP(E223,'Pre-Assessment Estimator'!$E$11:$Z$228,'Pre-Assessment Estimator'!$U$2,FALSE)&gt;AB223,AB223,VLOOKUP(E223,'Pre-Assessment Estimator'!$E$11:$Z$228,'Pre-Assessment Estimator'!$U$2,FALSE))</f>
        <v>0</v>
      </c>
      <c r="AM223" s="292"/>
      <c r="AN223" s="293"/>
      <c r="AO223" s="293"/>
      <c r="AP223" s="293"/>
      <c r="AQ223" s="722"/>
      <c r="AR223" s="139"/>
      <c r="AS223" s="292"/>
      <c r="AT223" s="293"/>
      <c r="AU223" s="293"/>
      <c r="AV223" s="293"/>
      <c r="AW223" s="294"/>
      <c r="AY223" s="188"/>
      <c r="AZ223" s="189"/>
      <c r="BA223" s="189"/>
      <c r="BB223" s="189"/>
      <c r="BC223" s="717">
        <f t="shared" si="543"/>
        <v>0</v>
      </c>
      <c r="BD223" s="182">
        <f t="shared" si="464"/>
        <v>9</v>
      </c>
      <c r="BE223" s="164" t="str">
        <f t="shared" si="576"/>
        <v>N/A</v>
      </c>
      <c r="BF223" s="185"/>
      <c r="BG223" s="182">
        <f t="shared" si="577"/>
        <v>9</v>
      </c>
      <c r="BH223" s="164" t="str">
        <f t="shared" si="578"/>
        <v>N/A</v>
      </c>
      <c r="BI223" s="185"/>
      <c r="BJ223" s="182">
        <f t="shared" si="447"/>
        <v>9</v>
      </c>
      <c r="BK223" s="164" t="str">
        <f t="shared" si="579"/>
        <v>N/A</v>
      </c>
      <c r="BL223" s="185"/>
      <c r="BO223" s="167"/>
      <c r="BP223" s="167"/>
      <c r="BQ223" s="167" t="str">
        <f t="shared" si="554"/>
        <v/>
      </c>
      <c r="BR223" s="167">
        <f t="shared" ref="BR223:BR230" si="582">IF(BQ223="",9,(IF(AI223&gt;=BQ223,5,0)))</f>
        <v>9</v>
      </c>
      <c r="BS223" s="167">
        <f t="shared" ref="BS223:BS230" si="583">IF(BQ223="",9,(IF(AJ223&gt;=BQ223,5,0)))</f>
        <v>9</v>
      </c>
      <c r="BT223" s="167">
        <f t="shared" ref="BT223:BT230" si="584">IF(BQ223="",9,(IF(AK223&gt;=BQ223,5,0)))</f>
        <v>9</v>
      </c>
      <c r="BW223" s="167" t="str">
        <f t="shared" si="580"/>
        <v>Inn 07</v>
      </c>
      <c r="BX223" s="167" t="str">
        <f>IFERROR(VLOOKUP($E223,'Pre-Assessment Estimator'!$E$11:$AB$228,'Pre-Assessment Estimator'!AB$2,FALSE),"")</f>
        <v>N/A</v>
      </c>
      <c r="BY223" s="167">
        <f>IFERROR(VLOOKUP($E223,'Pre-Assessment Estimator'!$E$11:$AI$228,'Pre-Assessment Estimator'!AI$2,FALSE),"")</f>
        <v>0</v>
      </c>
      <c r="BZ223" s="167">
        <f t="shared" si="567"/>
        <v>1</v>
      </c>
      <c r="CA223" s="167">
        <f t="shared" si="568"/>
        <v>0</v>
      </c>
      <c r="CB223" s="167"/>
      <c r="CC223" s="96" t="str">
        <f t="shared" si="569"/>
        <v/>
      </c>
    </row>
    <row r="224" spans="1:85" x14ac:dyDescent="0.25">
      <c r="A224" s="96">
        <v>216</v>
      </c>
      <c r="B224" s="130" t="str">
        <f t="shared" si="581"/>
        <v>Inn 08</v>
      </c>
      <c r="C224" s="96" t="s">
        <v>172</v>
      </c>
      <c r="D224" s="166" t="s">
        <v>223</v>
      </c>
      <c r="E224" s="167" t="str">
        <f t="shared" si="570"/>
        <v xml:space="preserve">Inn 08 - Mat 01: 60% reduction of greenhouse gas emission </v>
      </c>
      <c r="F224" s="775">
        <v>1</v>
      </c>
      <c r="G224" s="775">
        <v>1</v>
      </c>
      <c r="H224" s="775">
        <v>1</v>
      </c>
      <c r="I224" s="775">
        <v>1</v>
      </c>
      <c r="J224" s="775">
        <v>1</v>
      </c>
      <c r="K224" s="775">
        <v>1</v>
      </c>
      <c r="L224" s="775">
        <v>1</v>
      </c>
      <c r="M224" s="775">
        <v>1</v>
      </c>
      <c r="N224" s="775">
        <v>1</v>
      </c>
      <c r="O224" s="775">
        <v>1</v>
      </c>
      <c r="P224" s="775">
        <v>1</v>
      </c>
      <c r="Q224" s="1129">
        <v>1</v>
      </c>
      <c r="R224" s="1129">
        <v>1</v>
      </c>
      <c r="T224" s="221">
        <f t="shared" si="571"/>
        <v>1</v>
      </c>
      <c r="U224" s="166"/>
      <c r="V224" s="167"/>
      <c r="W224" s="167"/>
      <c r="X224" s="168">
        <f>'Manuell filtrering og justering'!E101</f>
        <v>0</v>
      </c>
      <c r="Y224" s="169"/>
      <c r="Z224" s="1158">
        <f>VLOOKUP(B224,'Manuell filtrering og justering'!$A$7:$H$253,'Manuell filtrering og justering'!$H$1,FALSE)</f>
        <v>1</v>
      </c>
      <c r="AA224" s="169">
        <f t="shared" si="572"/>
        <v>0</v>
      </c>
      <c r="AB224" s="170">
        <f>IF($AC$5='Manuell filtrering og justering'!$J$2,Z224,(T224-AA224))</f>
        <v>1</v>
      </c>
      <c r="AD224" s="171">
        <f>(Inn_Weight/Inn_Credits)*Inn08_credits</f>
        <v>0.01</v>
      </c>
      <c r="AE224" s="171">
        <f t="shared" si="573"/>
        <v>0</v>
      </c>
      <c r="AF224" s="171">
        <f t="shared" si="574"/>
        <v>0</v>
      </c>
      <c r="AG224" s="171">
        <f t="shared" si="575"/>
        <v>0</v>
      </c>
      <c r="AI224" s="214">
        <f>IF(VLOOKUP(E224,'Pre-Assessment Estimator'!$E$11:$Z$228,'Pre-Assessment Estimator'!$G$2,FALSE)&gt;AB224,AB224,VLOOKUP(E224,'Pre-Assessment Estimator'!$E$11:$Z$228,'Pre-Assessment Estimator'!$G$2,FALSE))</f>
        <v>0</v>
      </c>
      <c r="AJ224" s="172">
        <f>IF(VLOOKUP(E224,'Pre-Assessment Estimator'!$E$11:$Z$228,'Pre-Assessment Estimator'!$N$2,FALSE)&gt;AB224,AB224,VLOOKUP(E224,'Pre-Assessment Estimator'!$E$11:$Z$228,'Pre-Assessment Estimator'!$N$2,FALSE))</f>
        <v>0</v>
      </c>
      <c r="AK224" s="172">
        <f>IF(VLOOKUP(E224,'Pre-Assessment Estimator'!$E$11:$Z$228,'Pre-Assessment Estimator'!$U$2,FALSE)&gt;AB224,AB224,VLOOKUP(E224,'Pre-Assessment Estimator'!$E$11:$Z$228,'Pre-Assessment Estimator'!$U$2,FALSE))</f>
        <v>0</v>
      </c>
      <c r="AM224" s="292"/>
      <c r="AN224" s="293"/>
      <c r="AO224" s="293"/>
      <c r="AP224" s="293"/>
      <c r="AQ224" s="722"/>
      <c r="AR224" s="139"/>
      <c r="AS224" s="292"/>
      <c r="AT224" s="293"/>
      <c r="AU224" s="293"/>
      <c r="AV224" s="293"/>
      <c r="AW224" s="294"/>
      <c r="AY224" s="188"/>
      <c r="AZ224" s="189"/>
      <c r="BA224" s="189"/>
      <c r="BB224" s="189"/>
      <c r="BC224" s="717">
        <f>IF($E$6=$H$9,AW224,AQ224)</f>
        <v>0</v>
      </c>
      <c r="BD224" s="182">
        <f t="shared" si="464"/>
        <v>9</v>
      </c>
      <c r="BE224" s="164" t="str">
        <f t="shared" si="576"/>
        <v>N/A</v>
      </c>
      <c r="BF224" s="185"/>
      <c r="BG224" s="182">
        <f t="shared" si="577"/>
        <v>9</v>
      </c>
      <c r="BH224" s="164" t="str">
        <f t="shared" si="578"/>
        <v>N/A</v>
      </c>
      <c r="BI224" s="185"/>
      <c r="BJ224" s="182">
        <f t="shared" si="447"/>
        <v>9</v>
      </c>
      <c r="BK224" s="164" t="str">
        <f t="shared" si="579"/>
        <v>N/A</v>
      </c>
      <c r="BL224" s="185"/>
      <c r="BO224" s="167"/>
      <c r="BP224" s="167"/>
      <c r="BQ224" s="167" t="str">
        <f t="shared" si="554"/>
        <v/>
      </c>
      <c r="BR224" s="167">
        <f t="shared" si="582"/>
        <v>9</v>
      </c>
      <c r="BS224" s="167">
        <f t="shared" si="583"/>
        <v>9</v>
      </c>
      <c r="BT224" s="167">
        <f t="shared" si="584"/>
        <v>9</v>
      </c>
      <c r="BW224" s="167" t="str">
        <f t="shared" si="580"/>
        <v>Inn 08</v>
      </c>
      <c r="BX224" s="167" t="str">
        <f>IFERROR(VLOOKUP($E224,'Pre-Assessment Estimator'!$E$11:$AB$228,'Pre-Assessment Estimator'!AB$2,FALSE),"")</f>
        <v>N/A</v>
      </c>
      <c r="BY224" s="167">
        <f>IFERROR(VLOOKUP($E224,'Pre-Assessment Estimator'!$E$11:$AI$228,'Pre-Assessment Estimator'!AI$2,FALSE),"")</f>
        <v>0</v>
      </c>
      <c r="BZ224" s="167">
        <f t="shared" si="567"/>
        <v>1</v>
      </c>
      <c r="CA224" s="167">
        <f t="shared" si="568"/>
        <v>0</v>
      </c>
      <c r="CB224" s="167"/>
      <c r="CC224" s="96" t="str">
        <f t="shared" si="569"/>
        <v/>
      </c>
    </row>
    <row r="225" spans="1:81" x14ac:dyDescent="0.25">
      <c r="A225" s="96">
        <v>217</v>
      </c>
      <c r="B225" s="130" t="str">
        <f t="shared" si="581"/>
        <v>Inn 09</v>
      </c>
      <c r="C225" s="96" t="s">
        <v>175</v>
      </c>
      <c r="D225" s="166" t="s">
        <v>253</v>
      </c>
      <c r="E225" s="167" t="str">
        <f t="shared" si="570"/>
        <v>Inn 09 - Mat 06: FutureBuilt criteria set for circular buildings, point 2.3 reuse of building components</v>
      </c>
      <c r="F225" s="775">
        <v>1</v>
      </c>
      <c r="G225" s="775">
        <v>1</v>
      </c>
      <c r="H225" s="775">
        <v>1</v>
      </c>
      <c r="I225" s="775">
        <v>1</v>
      </c>
      <c r="J225" s="775">
        <v>1</v>
      </c>
      <c r="K225" s="775">
        <v>1</v>
      </c>
      <c r="L225" s="775">
        <v>1</v>
      </c>
      <c r="M225" s="775">
        <v>1</v>
      </c>
      <c r="N225" s="775">
        <v>1</v>
      </c>
      <c r="O225" s="775">
        <v>1</v>
      </c>
      <c r="P225" s="775">
        <v>1</v>
      </c>
      <c r="Q225" s="1129">
        <v>1</v>
      </c>
      <c r="R225" s="1129">
        <v>1</v>
      </c>
      <c r="T225" s="221">
        <f t="shared" si="571"/>
        <v>1</v>
      </c>
      <c r="U225" s="192"/>
      <c r="V225" s="193"/>
      <c r="W225" s="193"/>
      <c r="X225" s="168">
        <f>'Manuell filtrering og justering'!E102</f>
        <v>0</v>
      </c>
      <c r="Y225" s="169"/>
      <c r="Z225" s="1158">
        <f>VLOOKUP(B225,'Manuell filtrering og justering'!$A$7:$H$253,'Manuell filtrering og justering'!$H$1,FALSE)</f>
        <v>1</v>
      </c>
      <c r="AA225" s="169">
        <f t="shared" si="572"/>
        <v>0</v>
      </c>
      <c r="AB225" s="170">
        <f>IF($AC$5='Manuell filtrering og justering'!$J$2,Z225,(T225-AA225))</f>
        <v>1</v>
      </c>
      <c r="AD225" s="171">
        <f>(Inn_Weight/Inn_Credits)*Inn09_credits</f>
        <v>0.01</v>
      </c>
      <c r="AE225" s="171">
        <f t="shared" si="573"/>
        <v>0</v>
      </c>
      <c r="AF225" s="171">
        <f t="shared" si="574"/>
        <v>0</v>
      </c>
      <c r="AG225" s="171">
        <f t="shared" si="575"/>
        <v>0</v>
      </c>
      <c r="AI225" s="214">
        <f>IF(VLOOKUP(E225,'Pre-Assessment Estimator'!$E$11:$Z$228,'Pre-Assessment Estimator'!$G$2,FALSE)&gt;AB225,AB225,VLOOKUP(E225,'Pre-Assessment Estimator'!$E$11:$Z$228,'Pre-Assessment Estimator'!$G$2,FALSE))</f>
        <v>0</v>
      </c>
      <c r="AJ225" s="172">
        <f>IF(VLOOKUP(E225,'Pre-Assessment Estimator'!$E$11:$Z$228,'Pre-Assessment Estimator'!$N$2,FALSE)&gt;AB225,AB225,VLOOKUP(E225,'Pre-Assessment Estimator'!$E$11:$Z$228,'Pre-Assessment Estimator'!$N$2,FALSE))</f>
        <v>0</v>
      </c>
      <c r="AK225" s="172">
        <f>IF(VLOOKUP(E225,'Pre-Assessment Estimator'!$E$11:$Z$228,'Pre-Assessment Estimator'!$U$2,FALSE)&gt;AB225,AB225,VLOOKUP(E225,'Pre-Assessment Estimator'!$E$11:$Z$228,'Pre-Assessment Estimator'!$U$2,FALSE))</f>
        <v>0</v>
      </c>
      <c r="AM225" s="292"/>
      <c r="AN225" s="293"/>
      <c r="AO225" s="293"/>
      <c r="AP225" s="293"/>
      <c r="AQ225" s="722"/>
      <c r="AR225" s="139"/>
      <c r="AS225" s="292"/>
      <c r="AT225" s="293"/>
      <c r="AU225" s="293"/>
      <c r="AV225" s="293"/>
      <c r="AW225" s="294"/>
      <c r="AY225" s="188"/>
      <c r="AZ225" s="189"/>
      <c r="BA225" s="189"/>
      <c r="BB225" s="189"/>
      <c r="BC225" s="717">
        <f>IF($E$6=$H$9,AW225,AQ225)</f>
        <v>0</v>
      </c>
      <c r="BD225" s="182">
        <f t="shared" si="464"/>
        <v>9</v>
      </c>
      <c r="BE225" s="164" t="str">
        <f t="shared" si="576"/>
        <v>N/A</v>
      </c>
      <c r="BF225" s="185"/>
      <c r="BG225" s="182">
        <f t="shared" si="577"/>
        <v>9</v>
      </c>
      <c r="BH225" s="164" t="str">
        <f t="shared" si="578"/>
        <v>N/A</v>
      </c>
      <c r="BI225" s="185"/>
      <c r="BJ225" s="182">
        <f t="shared" si="447"/>
        <v>9</v>
      </c>
      <c r="BK225" s="164" t="str">
        <f t="shared" si="579"/>
        <v>N/A</v>
      </c>
      <c r="BL225" s="185"/>
      <c r="BO225" s="167"/>
      <c r="BP225" s="167"/>
      <c r="BQ225" s="167" t="str">
        <f t="shared" si="554"/>
        <v/>
      </c>
      <c r="BR225" s="167">
        <f t="shared" si="582"/>
        <v>9</v>
      </c>
      <c r="BS225" s="167">
        <f t="shared" si="583"/>
        <v>9</v>
      </c>
      <c r="BT225" s="167">
        <f t="shared" si="584"/>
        <v>9</v>
      </c>
      <c r="BW225" s="167" t="str">
        <f t="shared" si="580"/>
        <v>Inn 09</v>
      </c>
      <c r="BX225" s="167" t="str">
        <f>IFERROR(VLOOKUP($E225,'Pre-Assessment Estimator'!$E$11:$AB$228,'Pre-Assessment Estimator'!AB$2,FALSE),"")</f>
        <v>N/A</v>
      </c>
      <c r="BY225" s="167">
        <f>IFERROR(VLOOKUP($E225,'Pre-Assessment Estimator'!$E$11:$AI$228,'Pre-Assessment Estimator'!AI$2,FALSE),"")</f>
        <v>0</v>
      </c>
      <c r="BZ225" s="167">
        <f t="shared" si="567"/>
        <v>1</v>
      </c>
      <c r="CA225" s="167">
        <f t="shared" si="568"/>
        <v>0</v>
      </c>
      <c r="CB225" s="167"/>
      <c r="CC225" s="96" t="str">
        <f t="shared" si="569"/>
        <v/>
      </c>
    </row>
    <row r="226" spans="1:81" x14ac:dyDescent="0.25">
      <c r="A226" s="96">
        <v>218</v>
      </c>
      <c r="B226" s="130" t="str">
        <f t="shared" si="581"/>
        <v>Inn 10</v>
      </c>
      <c r="C226" s="96" t="s">
        <v>176</v>
      </c>
      <c r="D226" s="222" t="s">
        <v>473</v>
      </c>
      <c r="E226" s="189" t="str">
        <f t="shared" si="570"/>
        <v xml:space="preserve">Inn 10 - Wst 01: Especially low amount of construction waste </v>
      </c>
      <c r="F226" s="775">
        <v>1</v>
      </c>
      <c r="G226" s="775">
        <v>1</v>
      </c>
      <c r="H226" s="775">
        <v>1</v>
      </c>
      <c r="I226" s="775">
        <v>1</v>
      </c>
      <c r="J226" s="775">
        <v>1</v>
      </c>
      <c r="K226" s="775">
        <v>1</v>
      </c>
      <c r="L226" s="775">
        <v>1</v>
      </c>
      <c r="M226" s="775">
        <v>1</v>
      </c>
      <c r="N226" s="775">
        <v>1</v>
      </c>
      <c r="O226" s="775">
        <v>1</v>
      </c>
      <c r="P226" s="775">
        <v>1</v>
      </c>
      <c r="Q226" s="1129">
        <v>1</v>
      </c>
      <c r="R226" s="1129">
        <v>1</v>
      </c>
      <c r="T226" s="221">
        <f t="shared" si="571"/>
        <v>1</v>
      </c>
      <c r="U226" s="192"/>
      <c r="V226" s="193"/>
      <c r="W226" s="193"/>
      <c r="X226" s="168">
        <f>'Manuell filtrering og justering'!E103</f>
        <v>0</v>
      </c>
      <c r="Y226" s="169"/>
      <c r="Z226" s="1158">
        <f>VLOOKUP(B226,'Manuell filtrering og justering'!$A$7:$H$253,'Manuell filtrering og justering'!$H$1,FALSE)</f>
        <v>1</v>
      </c>
      <c r="AA226" s="169">
        <f t="shared" si="572"/>
        <v>0</v>
      </c>
      <c r="AB226" s="170">
        <f>IF($AC$5='Manuell filtrering og justering'!$J$2,Z226,(T226-AA226))</f>
        <v>1</v>
      </c>
      <c r="AD226" s="171">
        <f>(Inn_Weight/Inn_Credits)*Inn10_credits</f>
        <v>0.01</v>
      </c>
      <c r="AE226" s="171">
        <f t="shared" si="573"/>
        <v>0</v>
      </c>
      <c r="AF226" s="171">
        <f t="shared" si="574"/>
        <v>0</v>
      </c>
      <c r="AG226" s="171">
        <f t="shared" si="575"/>
        <v>0</v>
      </c>
      <c r="AI226" s="214">
        <f>IF(VLOOKUP(E226,'Pre-Assessment Estimator'!$E$11:$Z$228,'Pre-Assessment Estimator'!$G$2,FALSE)&gt;AB226,AB226,VLOOKUP(E226,'Pre-Assessment Estimator'!$E$11:$Z$228,'Pre-Assessment Estimator'!$G$2,FALSE))</f>
        <v>0</v>
      </c>
      <c r="AJ226" s="172">
        <f>IF(VLOOKUP(E226,'Pre-Assessment Estimator'!$E$11:$Z$228,'Pre-Assessment Estimator'!$N$2,FALSE)&gt;AB226,AB226,VLOOKUP(E226,'Pre-Assessment Estimator'!$E$11:$Z$228,'Pre-Assessment Estimator'!$N$2,FALSE))</f>
        <v>0</v>
      </c>
      <c r="AK226" s="172">
        <f>IF(VLOOKUP(E226,'Pre-Assessment Estimator'!$E$11:$Z$228,'Pre-Assessment Estimator'!$U$2,FALSE)&gt;AB226,AB226,VLOOKUP(E226,'Pre-Assessment Estimator'!$E$11:$Z$228,'Pre-Assessment Estimator'!$U$2,FALSE))</f>
        <v>0</v>
      </c>
      <c r="AM226" s="292"/>
      <c r="AN226" s="293"/>
      <c r="AO226" s="293"/>
      <c r="AP226" s="293"/>
      <c r="AQ226" s="722"/>
      <c r="AR226" s="139"/>
      <c r="AS226" s="292"/>
      <c r="AT226" s="293"/>
      <c r="AU226" s="293"/>
      <c r="AV226" s="293"/>
      <c r="AW226" s="294"/>
      <c r="AY226" s="188"/>
      <c r="AZ226" s="189"/>
      <c r="BA226" s="189"/>
      <c r="BB226" s="189"/>
      <c r="BC226" s="717">
        <f t="shared" ref="BC226:BC229" si="585">IF($E$6=$H$9,AW226,AQ226)</f>
        <v>0</v>
      </c>
      <c r="BD226" s="182">
        <f t="shared" ref="BD226:BD229" si="586">IF(BC226=0,9,IF(AI226&gt;=BC226,5,IF(AI226&gt;=BB226,4,IF(AI226&gt;=BA226,3,IF(AI226&gt;=AZ226,2,IF(AI226&lt;AY226,0,1))))))</f>
        <v>9</v>
      </c>
      <c r="BE226" s="164" t="str">
        <f t="shared" si="576"/>
        <v>N/A</v>
      </c>
      <c r="BF226" s="185"/>
      <c r="BG226" s="182">
        <f t="shared" ref="BG226:BG229" si="587">IF(BC226=0,9,IF(AJ226&gt;=BC226,5,IF(AJ226&gt;=BB226,4,IF(AJ226&gt;=BA226,3,IF(AJ226&gt;=AZ226,2,IF(AJ226&lt;AY226,0,1))))))</f>
        <v>9</v>
      </c>
      <c r="BH226" s="164" t="str">
        <f t="shared" si="578"/>
        <v>N/A</v>
      </c>
      <c r="BI226" s="185"/>
      <c r="BJ226" s="182">
        <f t="shared" ref="BJ226:BJ229" si="588">IF(BC226=0,9,IF(AK226&gt;=BC226,5,IF(AK226&gt;=BB226,4,IF(AK226&gt;=BA226,3,IF(AK226&gt;=AZ226,2,IF(AK226&lt;AY226,0,1))))))</f>
        <v>9</v>
      </c>
      <c r="BK226" s="164" t="str">
        <f t="shared" si="579"/>
        <v>N/A</v>
      </c>
      <c r="BL226" s="185"/>
      <c r="BO226" s="167"/>
      <c r="BP226" s="167"/>
      <c r="BQ226" s="167" t="str">
        <f t="shared" si="554"/>
        <v/>
      </c>
      <c r="BR226" s="167">
        <f t="shared" si="582"/>
        <v>9</v>
      </c>
      <c r="BS226" s="167">
        <f t="shared" si="583"/>
        <v>9</v>
      </c>
      <c r="BT226" s="167">
        <f t="shared" si="584"/>
        <v>9</v>
      </c>
      <c r="BW226" s="314"/>
      <c r="BX226" s="314"/>
      <c r="BY226" s="314"/>
      <c r="BZ226" s="314"/>
      <c r="CA226" s="314"/>
      <c r="CB226" s="314"/>
    </row>
    <row r="227" spans="1:81" x14ac:dyDescent="0.25">
      <c r="A227" s="96">
        <v>219</v>
      </c>
      <c r="B227" s="130" t="str">
        <f t="shared" si="581"/>
        <v>Inn 11</v>
      </c>
      <c r="C227" s="96" t="s">
        <v>180</v>
      </c>
      <c r="D227" s="222" t="s">
        <v>474</v>
      </c>
      <c r="E227" s="189" t="str">
        <f t="shared" si="570"/>
        <v>Inn 11 - LE 02: Wider sustainability for the site</v>
      </c>
      <c r="F227" s="775">
        <v>1</v>
      </c>
      <c r="G227" s="775">
        <v>1</v>
      </c>
      <c r="H227" s="775">
        <v>1</v>
      </c>
      <c r="I227" s="775">
        <v>1</v>
      </c>
      <c r="J227" s="775">
        <v>1</v>
      </c>
      <c r="K227" s="775">
        <v>1</v>
      </c>
      <c r="L227" s="775">
        <v>1</v>
      </c>
      <c r="M227" s="775">
        <v>1</v>
      </c>
      <c r="N227" s="775">
        <v>1</v>
      </c>
      <c r="O227" s="775">
        <v>1</v>
      </c>
      <c r="P227" s="775">
        <v>1</v>
      </c>
      <c r="Q227" s="1129">
        <v>1</v>
      </c>
      <c r="R227" s="1129">
        <v>1</v>
      </c>
      <c r="T227" s="221">
        <f t="shared" si="571"/>
        <v>1</v>
      </c>
      <c r="U227" s="192"/>
      <c r="V227" s="193"/>
      <c r="W227" s="193"/>
      <c r="X227" s="168">
        <f>'Manuell filtrering og justering'!E104</f>
        <v>0</v>
      </c>
      <c r="Y227" s="169"/>
      <c r="Z227" s="1158">
        <f>VLOOKUP(B227,'Manuell filtrering og justering'!$A$7:$H$253,'Manuell filtrering og justering'!$H$1,FALSE)</f>
        <v>1</v>
      </c>
      <c r="AA227" s="169">
        <f t="shared" si="572"/>
        <v>0</v>
      </c>
      <c r="AB227" s="170">
        <f>IF($AC$5='Manuell filtrering og justering'!$J$2,Z227,(T227-AA227))</f>
        <v>1</v>
      </c>
      <c r="AD227" s="171">
        <f>(Inn_Weight/Inn_Credits)*Inn11_credits</f>
        <v>0.01</v>
      </c>
      <c r="AE227" s="171">
        <f t="shared" si="573"/>
        <v>0</v>
      </c>
      <c r="AF227" s="171">
        <f t="shared" si="574"/>
        <v>0</v>
      </c>
      <c r="AG227" s="171">
        <f t="shared" si="575"/>
        <v>0</v>
      </c>
      <c r="AI227" s="214">
        <f>IF(VLOOKUP(E227,'Pre-Assessment Estimator'!$E$11:$Z$228,'Pre-Assessment Estimator'!$G$2,FALSE)&gt;AB227,AB227,VLOOKUP(E227,'Pre-Assessment Estimator'!$E$11:$Z$228,'Pre-Assessment Estimator'!$G$2,FALSE))</f>
        <v>0</v>
      </c>
      <c r="AJ227" s="172">
        <f>IF(VLOOKUP(E227,'Pre-Assessment Estimator'!$E$11:$Z$228,'Pre-Assessment Estimator'!$N$2,FALSE)&gt;AB227,AB227,VLOOKUP(E227,'Pre-Assessment Estimator'!$E$11:$Z$228,'Pre-Assessment Estimator'!$N$2,FALSE))</f>
        <v>0</v>
      </c>
      <c r="AK227" s="172">
        <f>IF(VLOOKUP(E227,'Pre-Assessment Estimator'!$E$11:$Z$228,'Pre-Assessment Estimator'!$U$2,FALSE)&gt;AB227,AB227,VLOOKUP(E227,'Pre-Assessment Estimator'!$E$11:$Z$228,'Pre-Assessment Estimator'!$U$2,FALSE))</f>
        <v>0</v>
      </c>
      <c r="AM227" s="292"/>
      <c r="AN227" s="293"/>
      <c r="AO227" s="293"/>
      <c r="AP227" s="293"/>
      <c r="AQ227" s="722"/>
      <c r="AR227" s="139"/>
      <c r="AS227" s="292"/>
      <c r="AT227" s="293"/>
      <c r="AU227" s="293"/>
      <c r="AV227" s="293"/>
      <c r="AW227" s="294"/>
      <c r="AY227" s="188"/>
      <c r="AZ227" s="189"/>
      <c r="BA227" s="189"/>
      <c r="BB227" s="189"/>
      <c r="BC227" s="717">
        <f t="shared" si="585"/>
        <v>0</v>
      </c>
      <c r="BD227" s="182">
        <f t="shared" si="586"/>
        <v>9</v>
      </c>
      <c r="BE227" s="164" t="str">
        <f t="shared" si="576"/>
        <v>N/A</v>
      </c>
      <c r="BF227" s="185"/>
      <c r="BG227" s="182">
        <f t="shared" si="587"/>
        <v>9</v>
      </c>
      <c r="BH227" s="164" t="str">
        <f t="shared" si="578"/>
        <v>N/A</v>
      </c>
      <c r="BI227" s="185"/>
      <c r="BJ227" s="182">
        <f t="shared" si="588"/>
        <v>9</v>
      </c>
      <c r="BK227" s="164" t="str">
        <f t="shared" si="579"/>
        <v>N/A</v>
      </c>
      <c r="BL227" s="185"/>
      <c r="BO227" s="167"/>
      <c r="BP227" s="167"/>
      <c r="BQ227" s="167" t="str">
        <f t="shared" si="554"/>
        <v/>
      </c>
      <c r="BR227" s="167">
        <f t="shared" si="582"/>
        <v>9</v>
      </c>
      <c r="BS227" s="167">
        <f t="shared" si="583"/>
        <v>9</v>
      </c>
      <c r="BT227" s="167">
        <f t="shared" si="584"/>
        <v>9</v>
      </c>
      <c r="BW227" s="314"/>
      <c r="BX227" s="314"/>
      <c r="BY227" s="314"/>
      <c r="BZ227" s="314"/>
      <c r="CA227" s="314"/>
      <c r="CB227" s="314"/>
    </row>
    <row r="228" spans="1:81" x14ac:dyDescent="0.25">
      <c r="A228" s="96">
        <v>220</v>
      </c>
      <c r="B228" s="130" t="str">
        <f t="shared" si="581"/>
        <v>Inn 12</v>
      </c>
      <c r="C228" s="96" t="s">
        <v>181</v>
      </c>
      <c r="D228" s="222" t="s">
        <v>475</v>
      </c>
      <c r="E228" s="189" t="str">
        <f t="shared" si="570"/>
        <v>Inn 12 - LE 04: Significant net gain of biodiversity</v>
      </c>
      <c r="F228" s="775">
        <v>1</v>
      </c>
      <c r="G228" s="775">
        <v>1</v>
      </c>
      <c r="H228" s="775">
        <v>1</v>
      </c>
      <c r="I228" s="775">
        <v>1</v>
      </c>
      <c r="J228" s="775">
        <v>1</v>
      </c>
      <c r="K228" s="775">
        <v>1</v>
      </c>
      <c r="L228" s="775">
        <v>1</v>
      </c>
      <c r="M228" s="775">
        <v>1</v>
      </c>
      <c r="N228" s="775">
        <v>1</v>
      </c>
      <c r="O228" s="775">
        <v>1</v>
      </c>
      <c r="P228" s="775">
        <v>1</v>
      </c>
      <c r="Q228" s="1129">
        <v>1</v>
      </c>
      <c r="R228" s="1129">
        <v>1</v>
      </c>
      <c r="T228" s="221">
        <f t="shared" si="571"/>
        <v>1</v>
      </c>
      <c r="U228" s="192"/>
      <c r="V228" s="193"/>
      <c r="W228" s="193"/>
      <c r="X228" s="168">
        <f>'Manuell filtrering og justering'!E105</f>
        <v>0</v>
      </c>
      <c r="Y228" s="169"/>
      <c r="Z228" s="1158">
        <f>VLOOKUP(B228,'Manuell filtrering og justering'!$A$7:$H$253,'Manuell filtrering og justering'!$H$1,FALSE)</f>
        <v>1</v>
      </c>
      <c r="AA228" s="169">
        <f t="shared" si="572"/>
        <v>0</v>
      </c>
      <c r="AB228" s="170">
        <f>IF($AC$5='Manuell filtrering og justering'!$J$2,Z228,(T228-AA228))</f>
        <v>1</v>
      </c>
      <c r="AD228" s="171">
        <f>(Inn_Weight/Inn_Credits)*Inn12_credits</f>
        <v>0.01</v>
      </c>
      <c r="AE228" s="171">
        <f t="shared" si="573"/>
        <v>0</v>
      </c>
      <c r="AF228" s="171">
        <f t="shared" si="574"/>
        <v>0</v>
      </c>
      <c r="AG228" s="171">
        <f t="shared" si="575"/>
        <v>0</v>
      </c>
      <c r="AI228" s="214">
        <f>IF(VLOOKUP(E228,'Pre-Assessment Estimator'!$E$11:$Z$228,'Pre-Assessment Estimator'!$G$2,FALSE)&gt;AB228,AB228,VLOOKUP(E228,'Pre-Assessment Estimator'!$E$11:$Z$228,'Pre-Assessment Estimator'!$G$2,FALSE))</f>
        <v>0</v>
      </c>
      <c r="AJ228" s="172">
        <f>IF(VLOOKUP(E228,'Pre-Assessment Estimator'!$E$11:$Z$228,'Pre-Assessment Estimator'!$N$2,FALSE)&gt;AB228,AB228,VLOOKUP(E228,'Pre-Assessment Estimator'!$E$11:$Z$228,'Pre-Assessment Estimator'!$N$2,FALSE))</f>
        <v>0</v>
      </c>
      <c r="AK228" s="172">
        <f>IF(VLOOKUP(E228,'Pre-Assessment Estimator'!$E$11:$Z$228,'Pre-Assessment Estimator'!$U$2,FALSE)&gt;AB228,AB228,VLOOKUP(E228,'Pre-Assessment Estimator'!$E$11:$Z$228,'Pre-Assessment Estimator'!$U$2,FALSE))</f>
        <v>0</v>
      </c>
      <c r="AM228" s="292"/>
      <c r="AN228" s="293"/>
      <c r="AO228" s="293"/>
      <c r="AP228" s="293"/>
      <c r="AQ228" s="722"/>
      <c r="AR228" s="139"/>
      <c r="AS228" s="292"/>
      <c r="AT228" s="293"/>
      <c r="AU228" s="293"/>
      <c r="AV228" s="293"/>
      <c r="AW228" s="294"/>
      <c r="AY228" s="188"/>
      <c r="AZ228" s="189"/>
      <c r="BA228" s="189"/>
      <c r="BB228" s="189"/>
      <c r="BC228" s="717">
        <f t="shared" si="585"/>
        <v>0</v>
      </c>
      <c r="BD228" s="182">
        <f t="shared" si="586"/>
        <v>9</v>
      </c>
      <c r="BE228" s="164" t="str">
        <f t="shared" si="576"/>
        <v>N/A</v>
      </c>
      <c r="BF228" s="185"/>
      <c r="BG228" s="182">
        <f t="shared" si="587"/>
        <v>9</v>
      </c>
      <c r="BH228" s="164" t="str">
        <f t="shared" si="578"/>
        <v>N/A</v>
      </c>
      <c r="BI228" s="185"/>
      <c r="BJ228" s="182">
        <f t="shared" si="588"/>
        <v>9</v>
      </c>
      <c r="BK228" s="164" t="str">
        <f t="shared" si="579"/>
        <v>N/A</v>
      </c>
      <c r="BL228" s="185"/>
      <c r="BO228" s="167"/>
      <c r="BP228" s="167"/>
      <c r="BQ228" s="167" t="str">
        <f t="shared" si="554"/>
        <v/>
      </c>
      <c r="BR228" s="167">
        <f t="shared" si="582"/>
        <v>9</v>
      </c>
      <c r="BS228" s="167">
        <f t="shared" si="583"/>
        <v>9</v>
      </c>
      <c r="BT228" s="167">
        <f t="shared" si="584"/>
        <v>9</v>
      </c>
      <c r="BW228" s="314"/>
      <c r="BX228" s="314"/>
      <c r="BY228" s="314"/>
      <c r="BZ228" s="314"/>
      <c r="CA228" s="314"/>
      <c r="CB228" s="314"/>
    </row>
    <row r="229" spans="1:81" ht="15.75" thickBot="1" x14ac:dyDescent="0.3">
      <c r="A229" s="96">
        <v>221</v>
      </c>
      <c r="B229" s="130" t="str">
        <f t="shared" si="581"/>
        <v>Inn 13</v>
      </c>
      <c r="C229" s="96" t="s">
        <v>183</v>
      </c>
      <c r="D229" s="222" t="s">
        <v>476</v>
      </c>
      <c r="E229" s="189" t="str">
        <f t="shared" si="570"/>
        <v>Inn 13 - LE 06: Responding to climate change</v>
      </c>
      <c r="F229" s="775">
        <v>1</v>
      </c>
      <c r="G229" s="775">
        <v>1</v>
      </c>
      <c r="H229" s="775">
        <v>1</v>
      </c>
      <c r="I229" s="775">
        <v>1</v>
      </c>
      <c r="J229" s="775">
        <v>1</v>
      </c>
      <c r="K229" s="775">
        <v>1</v>
      </c>
      <c r="L229" s="775">
        <v>1</v>
      </c>
      <c r="M229" s="775">
        <v>1</v>
      </c>
      <c r="N229" s="775">
        <v>1</v>
      </c>
      <c r="O229" s="775">
        <v>1</v>
      </c>
      <c r="P229" s="775">
        <v>1</v>
      </c>
      <c r="Q229" s="1129">
        <v>1</v>
      </c>
      <c r="R229" s="1129">
        <v>1</v>
      </c>
      <c r="T229" s="221">
        <f t="shared" si="571"/>
        <v>1</v>
      </c>
      <c r="U229" s="192"/>
      <c r="V229" s="193"/>
      <c r="W229" s="193"/>
      <c r="X229" s="168">
        <f>'Manuell filtrering og justering'!E106</f>
        <v>0</v>
      </c>
      <c r="Y229" s="169"/>
      <c r="Z229" s="1158">
        <f>VLOOKUP(B229,'Manuell filtrering og justering'!$A$7:$H$253,'Manuell filtrering og justering'!$H$1,FALSE)</f>
        <v>1</v>
      </c>
      <c r="AA229" s="169">
        <f t="shared" si="572"/>
        <v>0</v>
      </c>
      <c r="AB229" s="170">
        <f>IF($AC$5='Manuell filtrering og justering'!$J$2,Z229,(T229-AA229))</f>
        <v>1</v>
      </c>
      <c r="AD229" s="171">
        <f>(Inn_Weight/Inn_Credits)*Inn13_credits</f>
        <v>0.01</v>
      </c>
      <c r="AE229" s="171">
        <f t="shared" si="573"/>
        <v>0</v>
      </c>
      <c r="AF229" s="171">
        <f t="shared" si="574"/>
        <v>0</v>
      </c>
      <c r="AG229" s="171">
        <f t="shared" si="575"/>
        <v>0</v>
      </c>
      <c r="AI229" s="214">
        <f>IF(VLOOKUP(E229,'Pre-Assessment Estimator'!$E$11:$Z$228,'Pre-Assessment Estimator'!$G$2,FALSE)&gt;AB229,AB229,VLOOKUP(E229,'Pre-Assessment Estimator'!$E$11:$Z$228,'Pre-Assessment Estimator'!$G$2,FALSE))</f>
        <v>0</v>
      </c>
      <c r="AJ229" s="172">
        <f>IF(VLOOKUP(E229,'Pre-Assessment Estimator'!$E$11:$Z$228,'Pre-Assessment Estimator'!$N$2,FALSE)&gt;AB229,AB229,VLOOKUP(E229,'Pre-Assessment Estimator'!$E$11:$Z$228,'Pre-Assessment Estimator'!$N$2,FALSE))</f>
        <v>0</v>
      </c>
      <c r="AK229" s="172">
        <f>IF(VLOOKUP(E229,'Pre-Assessment Estimator'!$E$11:$Z$228,'Pre-Assessment Estimator'!$U$2,FALSE)&gt;AB229,AB229,VLOOKUP(E229,'Pre-Assessment Estimator'!$E$11:$Z$228,'Pre-Assessment Estimator'!$U$2,FALSE))</f>
        <v>0</v>
      </c>
      <c r="AM229" s="295"/>
      <c r="AN229" s="296"/>
      <c r="AO229" s="296"/>
      <c r="AP229" s="296"/>
      <c r="AQ229" s="723"/>
      <c r="AR229" s="139"/>
      <c r="AS229" s="295"/>
      <c r="AT229" s="296"/>
      <c r="AU229" s="296"/>
      <c r="AV229" s="296"/>
      <c r="AW229" s="297"/>
      <c r="AY229" s="194"/>
      <c r="AZ229" s="196"/>
      <c r="BA229" s="196"/>
      <c r="BB229" s="196"/>
      <c r="BC229" s="718">
        <f t="shared" si="585"/>
        <v>0</v>
      </c>
      <c r="BD229" s="198">
        <f t="shared" si="586"/>
        <v>9</v>
      </c>
      <c r="BE229" s="164" t="str">
        <f t="shared" si="576"/>
        <v>N/A</v>
      </c>
      <c r="BF229" s="200"/>
      <c r="BG229" s="198">
        <f t="shared" si="587"/>
        <v>9</v>
      </c>
      <c r="BH229" s="164" t="str">
        <f t="shared" si="578"/>
        <v>N/A</v>
      </c>
      <c r="BI229" s="200"/>
      <c r="BJ229" s="198">
        <f t="shared" si="588"/>
        <v>9</v>
      </c>
      <c r="BK229" s="164" t="str">
        <f t="shared" si="579"/>
        <v>N/A</v>
      </c>
      <c r="BL229" s="200"/>
      <c r="BO229" s="167"/>
      <c r="BP229" s="167"/>
      <c r="BQ229" s="167" t="str">
        <f t="shared" si="554"/>
        <v/>
      </c>
      <c r="BR229" s="167">
        <f t="shared" si="582"/>
        <v>9</v>
      </c>
      <c r="BS229" s="167">
        <f t="shared" si="583"/>
        <v>9</v>
      </c>
      <c r="BT229" s="167">
        <f t="shared" si="584"/>
        <v>9</v>
      </c>
      <c r="BW229" s="314"/>
      <c r="BX229" s="314"/>
      <c r="BY229" s="314"/>
      <c r="BZ229" s="314"/>
      <c r="CA229" s="314"/>
      <c r="CB229" s="314"/>
    </row>
    <row r="230" spans="1:81" ht="15.75" thickBot="1" x14ac:dyDescent="0.3">
      <c r="A230" s="96">
        <v>222</v>
      </c>
      <c r="B230" s="130" t="str">
        <f t="shared" si="581"/>
        <v>Inn 14</v>
      </c>
      <c r="C230" s="96" t="s">
        <v>481</v>
      </c>
      <c r="D230" s="719" t="s">
        <v>697</v>
      </c>
      <c r="E230" s="196" t="str">
        <f t="shared" si="570"/>
        <v>Inn 14 - LE 08: Wider approach to surface water management</v>
      </c>
      <c r="F230" s="944">
        <v>1</v>
      </c>
      <c r="G230" s="944">
        <v>1</v>
      </c>
      <c r="H230" s="944">
        <v>1</v>
      </c>
      <c r="I230" s="944">
        <v>1</v>
      </c>
      <c r="J230" s="944">
        <v>1</v>
      </c>
      <c r="K230" s="944">
        <v>1</v>
      </c>
      <c r="L230" s="944">
        <v>1</v>
      </c>
      <c r="M230" s="944">
        <v>1</v>
      </c>
      <c r="N230" s="944">
        <v>1</v>
      </c>
      <c r="O230" s="944">
        <v>1</v>
      </c>
      <c r="P230" s="944">
        <v>1</v>
      </c>
      <c r="Q230" s="1130">
        <v>1</v>
      </c>
      <c r="R230" s="1130">
        <v>1</v>
      </c>
      <c r="T230" s="854">
        <f t="shared" si="571"/>
        <v>1</v>
      </c>
      <c r="U230" s="192"/>
      <c r="V230" s="193"/>
      <c r="W230" s="193"/>
      <c r="X230" s="1164"/>
      <c r="Y230" s="1180"/>
      <c r="Z230" s="1158">
        <f>VLOOKUP(B230,'Manuell filtrering og justering'!$A$7:$H$253,'Manuell filtrering og justering'!$H$1,FALSE)</f>
        <v>1</v>
      </c>
      <c r="AA230" s="169">
        <f t="shared" si="572"/>
        <v>0</v>
      </c>
      <c r="AB230" s="170">
        <f>IF($AC$5='Manuell filtrering og justering'!$J$2,Z230,(T230-AA230))</f>
        <v>1</v>
      </c>
      <c r="AD230" s="171">
        <f>(Inn_Weight/Inn_Credits)*AB230</f>
        <v>0.01</v>
      </c>
      <c r="AE230" s="171">
        <f t="shared" si="573"/>
        <v>0</v>
      </c>
      <c r="AF230" s="171">
        <f t="shared" si="574"/>
        <v>0</v>
      </c>
      <c r="AG230" s="171">
        <f t="shared" si="575"/>
        <v>0</v>
      </c>
      <c r="AI230" s="214">
        <f>IF(VLOOKUP(E230,'Pre-Assessment Estimator'!$E$11:$Z$228,'Pre-Assessment Estimator'!$G$2,FALSE)&gt;AB230,AB230,VLOOKUP(E230,'Pre-Assessment Estimator'!$E$11:$Z$228,'Pre-Assessment Estimator'!$G$2,FALSE))</f>
        <v>0</v>
      </c>
      <c r="AJ230" s="172">
        <f>IF(VLOOKUP(E230,'Pre-Assessment Estimator'!$E$11:$Z$228,'Pre-Assessment Estimator'!$N$2,FALSE)&gt;AB230,AB230,VLOOKUP(E230,'Pre-Assessment Estimator'!$E$11:$Z$228,'Pre-Assessment Estimator'!$N$2,FALSE))</f>
        <v>0</v>
      </c>
      <c r="AK230" s="172">
        <f>IF(VLOOKUP(E230,'Pre-Assessment Estimator'!$E$11:$Z$228,'Pre-Assessment Estimator'!$U$2,FALSE)&gt;AB230,AB230,VLOOKUP(E230,'Pre-Assessment Estimator'!$E$11:$Z$228,'Pre-Assessment Estimator'!$U$2,FALSE))</f>
        <v>0</v>
      </c>
      <c r="AM230" s="292"/>
      <c r="AN230" s="293"/>
      <c r="AO230" s="293"/>
      <c r="AP230" s="293"/>
      <c r="AQ230" s="722"/>
      <c r="AR230" s="139"/>
      <c r="AS230" s="292"/>
      <c r="AT230" s="293"/>
      <c r="AU230" s="293"/>
      <c r="AV230" s="293"/>
      <c r="AW230" s="294"/>
      <c r="AY230" s="188"/>
      <c r="AZ230" s="189"/>
      <c r="BA230" s="189"/>
      <c r="BB230" s="189"/>
      <c r="BC230" s="717">
        <f t="shared" ref="BC230" si="589">IF($E$6=$H$9,AW230,AQ230)</f>
        <v>0</v>
      </c>
      <c r="BD230" s="182">
        <f t="shared" ref="BD230" si="590">IF(BC230=0,9,IF(AI230&gt;=BC230,5,IF(AI230&gt;=BB230,4,IF(AI230&gt;=BA230,3,IF(AI230&gt;=AZ230,2,IF(AI230&lt;AY230,0,1))))))</f>
        <v>9</v>
      </c>
      <c r="BE230" s="164" t="str">
        <f t="shared" si="576"/>
        <v>N/A</v>
      </c>
      <c r="BF230" s="185"/>
      <c r="BG230" s="182">
        <f t="shared" ref="BG230" si="591">IF(BC230=0,9,IF(AJ230&gt;=BC230,5,IF(AJ230&gt;=BB230,4,IF(AJ230&gt;=BA230,3,IF(AJ230&gt;=AZ230,2,IF(AJ230&lt;AY230,0,1))))))</f>
        <v>9</v>
      </c>
      <c r="BH230" s="164" t="str">
        <f t="shared" si="578"/>
        <v>N/A</v>
      </c>
      <c r="BI230" s="185"/>
      <c r="BJ230" s="182">
        <f t="shared" ref="BJ230" si="592">IF(BC230=0,9,IF(AK230&gt;=BC230,5,IF(AK230&gt;=BB230,4,IF(AK230&gt;=BA230,3,IF(AK230&gt;=AZ230,2,IF(AK230&lt;AY230,0,1))))))</f>
        <v>9</v>
      </c>
      <c r="BK230" s="164" t="str">
        <f t="shared" si="579"/>
        <v>N/A</v>
      </c>
      <c r="BL230" s="185"/>
      <c r="BO230" s="167"/>
      <c r="BP230" s="167"/>
      <c r="BQ230" s="167" t="str">
        <f t="shared" si="554"/>
        <v/>
      </c>
      <c r="BR230" s="167">
        <f t="shared" si="582"/>
        <v>9</v>
      </c>
      <c r="BS230" s="167">
        <f t="shared" si="583"/>
        <v>9</v>
      </c>
      <c r="BT230" s="167">
        <f t="shared" si="584"/>
        <v>9</v>
      </c>
      <c r="BW230" s="314"/>
      <c r="BX230" s="314"/>
      <c r="BY230" s="314"/>
      <c r="BZ230" s="314"/>
      <c r="CA230" s="314"/>
      <c r="CB230" s="314"/>
    </row>
    <row r="231" spans="1:81" ht="15.75" thickBot="1" x14ac:dyDescent="0.3">
      <c r="A231" s="96">
        <v>223</v>
      </c>
      <c r="B231" s="130" t="s">
        <v>890</v>
      </c>
      <c r="D231" s="711" t="s">
        <v>213</v>
      </c>
      <c r="E231" s="710"/>
      <c r="F231" s="774">
        <f>IF(SUM(F217:F230)&gt;10,10,SUM(F217:F230))</f>
        <v>10</v>
      </c>
      <c r="G231" s="774">
        <f t="shared" ref="G231:R231" si="593">IF(SUM(G217:G230)&gt;10,10,SUM(G217:G230))</f>
        <v>10</v>
      </c>
      <c r="H231" s="774">
        <f t="shared" si="593"/>
        <v>10</v>
      </c>
      <c r="I231" s="774">
        <f t="shared" si="593"/>
        <v>10</v>
      </c>
      <c r="J231" s="774">
        <f t="shared" si="593"/>
        <v>10</v>
      </c>
      <c r="K231" s="774">
        <f t="shared" si="593"/>
        <v>10</v>
      </c>
      <c r="L231" s="774">
        <f t="shared" si="593"/>
        <v>10</v>
      </c>
      <c r="M231" s="774">
        <f t="shared" si="593"/>
        <v>10</v>
      </c>
      <c r="N231" s="774">
        <f t="shared" si="593"/>
        <v>10</v>
      </c>
      <c r="O231" s="774">
        <f t="shared" si="593"/>
        <v>10</v>
      </c>
      <c r="P231" s="774">
        <f t="shared" si="593"/>
        <v>10</v>
      </c>
      <c r="Q231" s="774">
        <f t="shared" ref="Q231" si="594">IF(SUM(Q217:Q230)&gt;10,10,SUM(Q217:Q230))</f>
        <v>10</v>
      </c>
      <c r="R231" s="774">
        <f t="shared" si="593"/>
        <v>10</v>
      </c>
      <c r="T231" s="226">
        <f t="shared" si="571"/>
        <v>10</v>
      </c>
      <c r="U231" s="204"/>
      <c r="V231" s="205"/>
      <c r="W231" s="205"/>
      <c r="X231" s="206"/>
      <c r="Y231" s="207"/>
      <c r="Z231" s="1161"/>
      <c r="AA231" s="207">
        <f>SUM(AA217:AA230)</f>
        <v>0</v>
      </c>
      <c r="AB231" s="227">
        <f>IF(SUM(AB217:AB230)&gt;10,10,SUM(AB217:AB230))</f>
        <v>10</v>
      </c>
      <c r="AD231" s="234">
        <f>IF(SUM(AD217:AD230)&gt;0.1,0.1,(SUM(AD217:AD230)))</f>
        <v>0.1</v>
      </c>
      <c r="AE231" s="234">
        <f>IF(SUM(AE217:AE230)&gt;0.1,0.1,(SUM(AE217:AE230)))</f>
        <v>0</v>
      </c>
      <c r="AF231" s="234">
        <f>IF(SUM(AF217:AF230)&gt;0.1,0.1,(SUM(AF217:AF230)))</f>
        <v>0</v>
      </c>
      <c r="AG231" s="234">
        <f>IF(SUM(AG217:AG230)&gt;0.1,0.1,(SUM(AG217:AG230)))</f>
        <v>0</v>
      </c>
      <c r="AI231" s="44">
        <f>IF(SUM(AI217:AI230)&gt;10,10,SUM(AI217:AI230))</f>
        <v>0</v>
      </c>
      <c r="AJ231" s="44">
        <f>IF(SUM(AJ217:AJ230)&gt;10,10,SUM(AJ217:AJ230))</f>
        <v>0</v>
      </c>
      <c r="AK231" s="44">
        <f>IF(SUM(AK217:AK230)&gt;10,10,SUM(AK217:AK230))</f>
        <v>0</v>
      </c>
      <c r="AY231" s="97"/>
      <c r="AZ231" s="97"/>
      <c r="BA231" s="97"/>
      <c r="BB231" s="97"/>
      <c r="BC231" s="235"/>
      <c r="BD231" s="236"/>
      <c r="BW231" s="202"/>
      <c r="BX231" s="202" t="str">
        <f>IFERROR(VLOOKUP($E231,'Pre-Assessment Estimator'!$E$11:$AB$228,'Pre-Assessment Estimator'!AB$2,FALSE),"")</f>
        <v/>
      </c>
      <c r="BY231" s="202" t="str">
        <f>IFERROR(VLOOKUP($E231,'Pre-Assessment Estimator'!$E$11:$AI$228,'Pre-Assessment Estimator'!AI$2,FALSE),"")</f>
        <v/>
      </c>
      <c r="BZ231" s="202" t="str">
        <f t="shared" ref="BZ231:CA233" si="595">IFERROR(VLOOKUP($BX231,$E$294:$H$327,F$292,FALSE),"")</f>
        <v/>
      </c>
      <c r="CA231" s="202" t="str">
        <f t="shared" si="595"/>
        <v/>
      </c>
      <c r="CB231" s="202"/>
      <c r="CC231" s="96" t="str">
        <f>IFERROR(VLOOKUP($BX231,$E$294:$H$327,I$292,FALSE),"")</f>
        <v/>
      </c>
    </row>
    <row r="232" spans="1:81" ht="15.75" thickBot="1" x14ac:dyDescent="0.3">
      <c r="A232" s="96">
        <v>224</v>
      </c>
      <c r="AY232" s="97"/>
      <c r="AZ232" s="97"/>
      <c r="BA232" s="97"/>
      <c r="BB232" s="97"/>
      <c r="BC232" s="235"/>
      <c r="BD232" s="236"/>
      <c r="BX232" s="96" t="str">
        <f>IFERROR(VLOOKUP($E232,'Pre-Assessment Estimator'!$E$11:$AB$228,'Pre-Assessment Estimator'!AB$2,FALSE),"")</f>
        <v/>
      </c>
      <c r="BY232" s="96" t="str">
        <f>IFERROR(VLOOKUP($E232,'Pre-Assessment Estimator'!$E$11:$AI$228,'Pre-Assessment Estimator'!AI$2,FALSE),"")</f>
        <v/>
      </c>
      <c r="BZ232" s="96" t="str">
        <f t="shared" si="595"/>
        <v/>
      </c>
      <c r="CA232" s="96" t="str">
        <f t="shared" si="595"/>
        <v/>
      </c>
      <c r="CC232" s="96" t="str">
        <f>IFERROR(VLOOKUP($BX232,$E$294:$H$327,I$292,FALSE),"")</f>
        <v/>
      </c>
    </row>
    <row r="233" spans="1:81" ht="60.75" thickBot="1" x14ac:dyDescent="0.3">
      <c r="A233" s="96">
        <v>225</v>
      </c>
      <c r="D233" s="151"/>
      <c r="E233" s="152" t="s">
        <v>232</v>
      </c>
      <c r="F233" s="1241" t="str">
        <f>$F$9</f>
        <v>Office</v>
      </c>
      <c r="G233" s="1241" t="str">
        <f>$G$9</f>
        <v>Retail</v>
      </c>
      <c r="H233" s="1245" t="str">
        <f>$H$9</f>
        <v>Residential</v>
      </c>
      <c r="I233" s="1241" t="str">
        <f>$I$9</f>
        <v>Industrial</v>
      </c>
      <c r="J233" s="1243" t="str">
        <f>$J$9</f>
        <v>Healthcare</v>
      </c>
      <c r="K233" s="1243" t="str">
        <f>$K$9</f>
        <v>Prison</v>
      </c>
      <c r="L233" s="1243" t="str">
        <f>$L$9</f>
        <v>Law Court</v>
      </c>
      <c r="M233" s="1247" t="str">
        <f>$M$9</f>
        <v>Residential institution (long term stay)</v>
      </c>
      <c r="N233" s="918" t="str">
        <f>$N$9</f>
        <v>Residential institution (short term stay)</v>
      </c>
      <c r="O233" s="918" t="str">
        <f>$O$9</f>
        <v>Non-residential institution</v>
      </c>
      <c r="P233" s="918" t="str">
        <f>$P$9</f>
        <v>Assembly and leisure</v>
      </c>
      <c r="Q233" s="1243" t="str">
        <f>$Q$9</f>
        <v>Education</v>
      </c>
      <c r="R233" s="857" t="str">
        <f>$R$9</f>
        <v>Other</v>
      </c>
      <c r="T233" s="138" t="str">
        <f>$E$6</f>
        <v>Office</v>
      </c>
      <c r="U233" s="237"/>
      <c r="V233" s="238"/>
      <c r="W233" s="211"/>
      <c r="X233" s="211"/>
      <c r="Y233" s="1165" t="s">
        <v>411</v>
      </c>
      <c r="Z233" s="347" t="s">
        <v>334</v>
      </c>
      <c r="AA233" s="150" t="s">
        <v>213</v>
      </c>
      <c r="AB233" s="59" t="s">
        <v>15</v>
      </c>
      <c r="AI233" s="42"/>
      <c r="AJ233" s="60"/>
      <c r="AK233" s="60"/>
      <c r="AY233" s="97"/>
      <c r="AZ233" s="97"/>
      <c r="BA233" s="97"/>
      <c r="BB233" s="97"/>
      <c r="BC233" s="235"/>
      <c r="BD233" s="236"/>
      <c r="BO233" s="60"/>
      <c r="BP233" s="60"/>
      <c r="BQ233" s="60"/>
      <c r="BR233" s="60"/>
      <c r="BS233" s="60"/>
      <c r="BT233" s="60"/>
      <c r="BW233" s="146"/>
      <c r="BX233" s="146" t="str">
        <f>E233</f>
        <v>Spesialtilfeller</v>
      </c>
      <c r="BY233" s="146" t="str">
        <f>IFERROR(VLOOKUP($E233,'Pre-Assessment Estimator'!$E$11:$AI$228,'Pre-Assessment Estimator'!AI$2,FALSE),"")</f>
        <v/>
      </c>
      <c r="BZ233" s="146" t="str">
        <f t="shared" si="595"/>
        <v/>
      </c>
      <c r="CA233" s="146" t="str">
        <f t="shared" si="595"/>
        <v/>
      </c>
      <c r="CB233" s="146"/>
      <c r="CC233" s="96" t="str">
        <f>IFERROR(VLOOKUP($BX233,$E$294:$H$327,I$292,FALSE),"")</f>
        <v/>
      </c>
    </row>
    <row r="234" spans="1:81" ht="15.75" thickBot="1" x14ac:dyDescent="0.3">
      <c r="A234" s="96">
        <v>226</v>
      </c>
      <c r="B234" s="96" t="s">
        <v>727</v>
      </c>
      <c r="C234" s="96" t="s">
        <v>116</v>
      </c>
      <c r="D234" s="732" t="s">
        <v>727</v>
      </c>
      <c r="E234" s="973" t="s">
        <v>1047</v>
      </c>
      <c r="F234" s="776" t="s">
        <v>233</v>
      </c>
      <c r="G234" s="776" t="s">
        <v>233</v>
      </c>
      <c r="H234" s="776" t="s">
        <v>233</v>
      </c>
      <c r="I234" s="776" t="s">
        <v>233</v>
      </c>
      <c r="J234" s="776" t="s">
        <v>233</v>
      </c>
      <c r="K234" s="776" t="s">
        <v>233</v>
      </c>
      <c r="L234" s="776" t="s">
        <v>233</v>
      </c>
      <c r="M234" s="776" t="s">
        <v>233</v>
      </c>
      <c r="N234" s="776" t="s">
        <v>233</v>
      </c>
      <c r="O234" s="776" t="s">
        <v>233</v>
      </c>
      <c r="P234" s="776" t="s">
        <v>233</v>
      </c>
      <c r="Q234" s="777" t="s">
        <v>233</v>
      </c>
      <c r="R234" s="777" t="s">
        <v>233</v>
      </c>
      <c r="T234" s="212" t="str">
        <f t="shared" ref="T234:T252" si="596">HLOOKUP($E$6,$F$9:$R$252,$A234,FALSE)</f>
        <v>Yes/No</v>
      </c>
      <c r="U234" s="169"/>
      <c r="V234" s="239"/>
      <c r="W234" s="167"/>
      <c r="X234" s="167"/>
      <c r="Y234" s="168"/>
      <c r="Z234" s="168"/>
      <c r="AA234" s="169"/>
      <c r="AB234" s="213" t="str">
        <f t="shared" ref="AB234:AB248" si="597">T234</f>
        <v>Yes/No</v>
      </c>
      <c r="AD234" s="171"/>
      <c r="AE234" s="240" t="s">
        <v>234</v>
      </c>
      <c r="AF234" s="240" t="s">
        <v>234</v>
      </c>
      <c r="AG234" s="240" t="s">
        <v>234</v>
      </c>
      <c r="AI234" s="214">
        <f>IF(VLOOKUP(E234,'Pre-Assessment Estimator'!$E$11:$AB$228,'Pre-Assessment Estimator'!$G$2,FALSE)&gt;AB234,AB234,VLOOKUP(E234,'Pre-Assessment Estimator'!$E$11:$AB$228,'Pre-Assessment Estimator'!$G$2,FALSE))</f>
        <v>0</v>
      </c>
      <c r="AJ234" s="172">
        <f>IF(VLOOKUP(E234,'Pre-Assessment Estimator'!$E$11:$AB$228,'Pre-Assessment Estimator'!$N$2,FALSE)&gt;AB234,AB234,VLOOKUP(E234,'Pre-Assessment Estimator'!$E$11:$AB$228,'Pre-Assessment Estimator'!$N$2,FALSE))</f>
        <v>0</v>
      </c>
      <c r="AK234" s="172">
        <f>IF(VLOOKUP(E234,'Pre-Assessment Estimator'!$E$11:$AB$228,'Pre-Assessment Estimator'!$U$2,FALSE)&gt;AB234,AB234,VLOOKUP(E234,'Pre-Assessment Estimator'!$E$11:$AB$228,'Pre-Assessment Estimator'!$U$2,FALSE))</f>
        <v>0</v>
      </c>
      <c r="AM234" s="215" t="s">
        <v>12</v>
      </c>
      <c r="AN234" s="216" t="s">
        <v>12</v>
      </c>
      <c r="AO234" s="216" t="s">
        <v>12</v>
      </c>
      <c r="AP234" s="216" t="s">
        <v>12</v>
      </c>
      <c r="AQ234" s="217" t="s">
        <v>12</v>
      </c>
      <c r="AS234" s="215" t="s">
        <v>12</v>
      </c>
      <c r="AT234" s="216" t="s">
        <v>12</v>
      </c>
      <c r="AU234" s="216" t="s">
        <v>12</v>
      </c>
      <c r="AV234" s="216" t="s">
        <v>12</v>
      </c>
      <c r="AW234" s="217" t="s">
        <v>12</v>
      </c>
      <c r="AY234" s="174" t="str">
        <f t="shared" ref="AY234" si="598">IF($E$6=$H$9,AS234,AM234)</f>
        <v>Yes</v>
      </c>
      <c r="AZ234" s="175" t="str">
        <f t="shared" ref="AZ234" si="599">IF($E$6=$H$9,AT234,AN234)</f>
        <v>Yes</v>
      </c>
      <c r="BA234" s="175" t="str">
        <f t="shared" ref="BA234" si="600">IF($E$6=$H$9,AU234,AO234)</f>
        <v>Yes</v>
      </c>
      <c r="BB234" s="175" t="str">
        <f t="shared" ref="BB234" si="601">IF($E$6=$H$9,AV234,AP234)</f>
        <v>Yes</v>
      </c>
      <c r="BC234" s="1118" t="str">
        <f t="shared" ref="BC234" si="602">IF($E$6=$H$9,AW234,AQ234)</f>
        <v>Yes</v>
      </c>
      <c r="BD234" s="182">
        <f>IF(AI234="Yes",5,0)</f>
        <v>0</v>
      </c>
      <c r="BE234" s="164" t="str">
        <f t="shared" ref="BE234:BE252" si="603">VLOOKUP(BD234,$BO$285:$BT$291,6,FALSE)</f>
        <v>Unclassified</v>
      </c>
      <c r="BF234" s="178"/>
      <c r="BG234" s="182">
        <f t="shared" ref="BG234" si="604">IF(AJ234="Yes",5,0)</f>
        <v>0</v>
      </c>
      <c r="BH234" s="164" t="str">
        <f t="shared" ref="BH234:BH252" si="605">VLOOKUP(BG234,$BO$285:$BT$291,6,FALSE)</f>
        <v>Unclassified</v>
      </c>
      <c r="BI234" s="178"/>
      <c r="BJ234" s="182">
        <f t="shared" ref="BJ234" si="606">IF(AK234="Yes",5,0)</f>
        <v>0</v>
      </c>
      <c r="BK234" s="164" t="str">
        <f t="shared" ref="BK234:BK252" si="607">VLOOKUP(BJ234,$BO$285:$BT$291,6,FALSE)</f>
        <v>Unclassified</v>
      </c>
      <c r="BL234" s="178"/>
      <c r="BO234" s="167"/>
      <c r="BP234" s="167"/>
      <c r="BQ234" s="167" t="str">
        <f t="shared" si="554"/>
        <v/>
      </c>
      <c r="BR234" s="167">
        <f t="shared" ref="BR234:BR249" si="608">IF(BQ234="",9,(IF(AI234=AD_Yes,5,0)))</f>
        <v>9</v>
      </c>
      <c r="BS234" s="167">
        <f t="shared" ref="BS234:BS249" si="609">IF(BQ234="",9,(IF(AJ234=AD_Yes,5,0)))</f>
        <v>9</v>
      </c>
      <c r="BT234" s="167">
        <f t="shared" ref="BT234:BT249" si="610">IF(BQ234="",9,(IF(AK234=AD_Yes,5,0)))</f>
        <v>9</v>
      </c>
      <c r="BW234" s="177"/>
      <c r="BX234" s="177"/>
      <c r="BY234" s="177"/>
      <c r="BZ234" s="177"/>
      <c r="CA234" s="177"/>
      <c r="CB234" s="177"/>
    </row>
    <row r="235" spans="1:81" x14ac:dyDescent="0.25">
      <c r="A235" s="96">
        <v>227</v>
      </c>
      <c r="B235" s="96" t="s">
        <v>1046</v>
      </c>
      <c r="C235" s="96" t="s">
        <v>116</v>
      </c>
      <c r="D235" s="1111" t="s">
        <v>1046</v>
      </c>
      <c r="E235" s="1112" t="s">
        <v>1048</v>
      </c>
      <c r="F235" s="1113" t="s">
        <v>233</v>
      </c>
      <c r="G235" s="1113" t="s">
        <v>233</v>
      </c>
      <c r="H235" s="1113" t="s">
        <v>233</v>
      </c>
      <c r="I235" s="1113" t="s">
        <v>233</v>
      </c>
      <c r="J235" s="1113" t="s">
        <v>233</v>
      </c>
      <c r="K235" s="1113" t="s">
        <v>233</v>
      </c>
      <c r="L235" s="1113" t="s">
        <v>233</v>
      </c>
      <c r="M235" s="1113" t="s">
        <v>233</v>
      </c>
      <c r="N235" s="1113" t="s">
        <v>233</v>
      </c>
      <c r="O235" s="1113" t="s">
        <v>233</v>
      </c>
      <c r="P235" s="1113" t="s">
        <v>233</v>
      </c>
      <c r="Q235" s="1114" t="s">
        <v>233</v>
      </c>
      <c r="R235" s="1114" t="s">
        <v>233</v>
      </c>
      <c r="T235" s="212" t="str">
        <f t="shared" si="596"/>
        <v>Yes/No</v>
      </c>
      <c r="U235" s="169"/>
      <c r="V235" s="239"/>
      <c r="W235" s="167"/>
      <c r="X235" s="167"/>
      <c r="Y235" s="168"/>
      <c r="Z235" s="168"/>
      <c r="AA235" s="169"/>
      <c r="AB235" s="213" t="str">
        <f>T235</f>
        <v>Yes/No</v>
      </c>
      <c r="AD235" s="171"/>
      <c r="AE235" s="240" t="s">
        <v>234</v>
      </c>
      <c r="AF235" s="240" t="s">
        <v>234</v>
      </c>
      <c r="AG235" s="240" t="s">
        <v>234</v>
      </c>
      <c r="AI235" s="214">
        <f>IF(VLOOKUP(E235,'Pre-Assessment Estimator'!$E$11:$AB$228,'Pre-Assessment Estimator'!$G$2,FALSE)&gt;AB235,AB235,VLOOKUP(E235,'Pre-Assessment Estimator'!$E$11:$AB$228,'Pre-Assessment Estimator'!$G$2,FALSE))</f>
        <v>0</v>
      </c>
      <c r="AJ235" s="172">
        <f>IF(VLOOKUP(E235,'Pre-Assessment Estimator'!$E$11:$AB$228,'Pre-Assessment Estimator'!$N$2,FALSE)&gt;AB235,AB235,VLOOKUP(E235,'Pre-Assessment Estimator'!$E$11:$AB$228,'Pre-Assessment Estimator'!$N$2,FALSE))</f>
        <v>0</v>
      </c>
      <c r="AK235" s="172">
        <f>IF(VLOOKUP(E235,'Pre-Assessment Estimator'!$E$11:$AB$228,'Pre-Assessment Estimator'!$U$2,FALSE)&gt;AB235,AB235,VLOOKUP(E235,'Pre-Assessment Estimator'!$E$11:$AB$228,'Pre-Assessment Estimator'!$U$2,FALSE))</f>
        <v>0</v>
      </c>
      <c r="AM235" s="215" t="s">
        <v>12</v>
      </c>
      <c r="AN235" s="216" t="s">
        <v>12</v>
      </c>
      <c r="AO235" s="216" t="s">
        <v>12</v>
      </c>
      <c r="AP235" s="216" t="s">
        <v>12</v>
      </c>
      <c r="AQ235" s="217" t="s">
        <v>12</v>
      </c>
      <c r="AS235" s="215" t="s">
        <v>12</v>
      </c>
      <c r="AT235" s="216" t="s">
        <v>12</v>
      </c>
      <c r="AU235" s="216" t="s">
        <v>12</v>
      </c>
      <c r="AV235" s="216" t="s">
        <v>12</v>
      </c>
      <c r="AW235" s="217" t="s">
        <v>12</v>
      </c>
      <c r="AY235" s="174" t="str">
        <f t="shared" ref="AY235" si="611">IF($E$6=$H$9,AS235,AM235)</f>
        <v>Yes</v>
      </c>
      <c r="AZ235" s="175" t="str">
        <f t="shared" ref="AZ235" si="612">IF($E$6=$H$9,AT235,AN235)</f>
        <v>Yes</v>
      </c>
      <c r="BA235" s="175" t="str">
        <f t="shared" ref="BA235" si="613">IF($E$6=$H$9,AU235,AO235)</f>
        <v>Yes</v>
      </c>
      <c r="BB235" s="175" t="str">
        <f t="shared" ref="BB235" si="614">IF($E$6=$H$9,AV235,AP235)</f>
        <v>Yes</v>
      </c>
      <c r="BC235" s="1118" t="str">
        <f t="shared" ref="BC235" si="615">IF($E$6=$H$9,AW235,AQ235)</f>
        <v>Yes</v>
      </c>
      <c r="BD235" s="182">
        <f>IF(AI235="Yes",5,0)</f>
        <v>0</v>
      </c>
      <c r="BE235" s="164" t="str">
        <f t="shared" si="603"/>
        <v>Unclassified</v>
      </c>
      <c r="BF235" s="178"/>
      <c r="BG235" s="182">
        <f t="shared" ref="BG235" si="616">IF(AJ235="Yes",5,0)</f>
        <v>0</v>
      </c>
      <c r="BH235" s="164" t="str">
        <f t="shared" si="605"/>
        <v>Unclassified</v>
      </c>
      <c r="BI235" s="178"/>
      <c r="BJ235" s="182">
        <f t="shared" ref="BJ235" si="617">IF(AK235="Yes",5,0)</f>
        <v>0</v>
      </c>
      <c r="BK235" s="164" t="str">
        <f t="shared" si="607"/>
        <v>Unclassified</v>
      </c>
      <c r="BL235" s="178"/>
      <c r="BO235" s="167"/>
      <c r="BP235" s="167"/>
      <c r="BQ235" s="167"/>
      <c r="BR235" s="167">
        <f t="shared" ref="BR235" si="618">IF(BQ235="",9,(IF(AI235=AD_Yes,5,0)))</f>
        <v>9</v>
      </c>
      <c r="BS235" s="167">
        <f t="shared" ref="BS235" si="619">IF(BQ235="",9,(IF(AJ235=AD_Yes,5,0)))</f>
        <v>9</v>
      </c>
      <c r="BT235" s="167">
        <f t="shared" ref="BT235" si="620">IF(BQ235="",9,(IF(AK235=AD_Yes,5,0)))</f>
        <v>9</v>
      </c>
      <c r="BW235" s="167"/>
      <c r="BX235" s="167"/>
      <c r="BY235" s="167"/>
      <c r="BZ235" s="167"/>
      <c r="CA235" s="167"/>
      <c r="CB235" s="167"/>
    </row>
    <row r="236" spans="1:81" x14ac:dyDescent="0.25">
      <c r="A236" s="96">
        <v>228</v>
      </c>
      <c r="B236" s="96" t="s">
        <v>732</v>
      </c>
      <c r="C236" s="96" t="s">
        <v>117</v>
      </c>
      <c r="D236" s="1111" t="s">
        <v>732</v>
      </c>
      <c r="E236" s="1112" t="s">
        <v>1093</v>
      </c>
      <c r="F236" s="1113" t="s">
        <v>233</v>
      </c>
      <c r="G236" s="1113" t="s">
        <v>233</v>
      </c>
      <c r="H236" s="1113" t="s">
        <v>233</v>
      </c>
      <c r="I236" s="1113" t="s">
        <v>233</v>
      </c>
      <c r="J236" s="1113" t="s">
        <v>233</v>
      </c>
      <c r="K236" s="1113" t="s">
        <v>233</v>
      </c>
      <c r="L236" s="1113" t="s">
        <v>233</v>
      </c>
      <c r="M236" s="1113" t="s">
        <v>233</v>
      </c>
      <c r="N236" s="1113" t="s">
        <v>233</v>
      </c>
      <c r="O236" s="1113" t="s">
        <v>233</v>
      </c>
      <c r="P236" s="1113" t="s">
        <v>233</v>
      </c>
      <c r="Q236" s="1114" t="s">
        <v>233</v>
      </c>
      <c r="R236" s="1114" t="s">
        <v>233</v>
      </c>
      <c r="T236" s="212" t="str">
        <f t="shared" si="596"/>
        <v>Yes/No</v>
      </c>
      <c r="U236" s="169"/>
      <c r="V236" s="239"/>
      <c r="W236" s="167"/>
      <c r="X236" s="167"/>
      <c r="Y236" s="168"/>
      <c r="Z236" s="168"/>
      <c r="AA236" s="169"/>
      <c r="AB236" s="1023" t="str">
        <f>IF(Hea02_credits=0,0,T236)</f>
        <v>Yes/No</v>
      </c>
      <c r="AD236" s="171"/>
      <c r="AE236" s="240" t="s">
        <v>234</v>
      </c>
      <c r="AF236" s="240" t="s">
        <v>234</v>
      </c>
      <c r="AG236" s="240" t="s">
        <v>234</v>
      </c>
      <c r="AI236" s="214">
        <f>IF(VLOOKUP(E236,'Pre-Assessment Estimator'!$E$11:$AB$228,'Pre-Assessment Estimator'!$G$2,FALSE)&gt;AB236,AB236,VLOOKUP(E236,'Pre-Assessment Estimator'!$E$11:$AB$228,'Pre-Assessment Estimator'!$G$2,FALSE))</f>
        <v>0</v>
      </c>
      <c r="AJ236" s="172">
        <f>IF(VLOOKUP(E236,'Pre-Assessment Estimator'!$E$11:$AB$228,'Pre-Assessment Estimator'!$N$2,FALSE)&gt;AB236,AB236,VLOOKUP(E236,'Pre-Assessment Estimator'!$E$11:$AB$228,'Pre-Assessment Estimator'!$N$2,FALSE))</f>
        <v>0</v>
      </c>
      <c r="AK236" s="172">
        <f>IF(VLOOKUP(E236,'Pre-Assessment Estimator'!$E$11:$AB$228,'Pre-Assessment Estimator'!$U$2,FALSE)&gt;AB236,AB236,VLOOKUP(E236,'Pre-Assessment Estimator'!$E$11:$AB$228,'Pre-Assessment Estimator'!$U$2,FALSE))</f>
        <v>0</v>
      </c>
      <c r="AM236" s="312" t="s">
        <v>12</v>
      </c>
      <c r="AN236" s="179" t="s">
        <v>12</v>
      </c>
      <c r="AO236" s="179" t="s">
        <v>12</v>
      </c>
      <c r="AP236" s="179" t="s">
        <v>12</v>
      </c>
      <c r="AQ236" s="180" t="s">
        <v>12</v>
      </c>
      <c r="AS236" s="1115" t="s">
        <v>12</v>
      </c>
      <c r="AT236" s="1116" t="s">
        <v>12</v>
      </c>
      <c r="AU236" s="1116" t="s">
        <v>12</v>
      </c>
      <c r="AV236" s="1116" t="s">
        <v>12</v>
      </c>
      <c r="AW236" s="1117" t="s">
        <v>12</v>
      </c>
      <c r="AY236" s="828" t="str">
        <f t="shared" ref="AY236:BB237" si="621">IF($E$6=$H$9,AS236,AM236)</f>
        <v>Yes</v>
      </c>
      <c r="AZ236" s="829" t="str">
        <f t="shared" si="621"/>
        <v>Yes</v>
      </c>
      <c r="BA236" s="829" t="str">
        <f t="shared" si="621"/>
        <v>Yes</v>
      </c>
      <c r="BB236" s="829" t="str">
        <f t="shared" si="621"/>
        <v>Yes</v>
      </c>
      <c r="BC236" s="848" t="str">
        <f t="shared" ref="BC236:BC248" si="622">IF($E$6=$H$9,AW236,AQ236)</f>
        <v>Yes</v>
      </c>
      <c r="BD236" s="182">
        <f>IF(Hea02_credits=0,9,IF(AND(AI236="Yes"),5,0))</f>
        <v>0</v>
      </c>
      <c r="BE236" s="164" t="str">
        <f t="shared" si="603"/>
        <v>Unclassified</v>
      </c>
      <c r="BF236" s="830"/>
      <c r="BG236" s="182">
        <f>IF(Hea02_credits=0,9,IF(AND(AJ236="Yes"),5,0))</f>
        <v>0</v>
      </c>
      <c r="BH236" s="164" t="str">
        <f t="shared" si="605"/>
        <v>Unclassified</v>
      </c>
      <c r="BI236" s="830"/>
      <c r="BJ236" s="182">
        <f>IF(Hea02_credits=0,9,IF(AND(AK236="Yes"),5,0))</f>
        <v>0</v>
      </c>
      <c r="BK236" s="164" t="str">
        <f t="shared" si="607"/>
        <v>Unclassified</v>
      </c>
      <c r="BL236" s="830"/>
      <c r="BO236" s="167"/>
      <c r="BP236" s="167"/>
      <c r="BQ236" s="167" t="str">
        <f t="shared" si="554"/>
        <v/>
      </c>
      <c r="BR236" s="167">
        <f t="shared" si="608"/>
        <v>9</v>
      </c>
      <c r="BS236" s="167">
        <f t="shared" si="609"/>
        <v>9</v>
      </c>
      <c r="BT236" s="167">
        <f t="shared" si="610"/>
        <v>9</v>
      </c>
      <c r="BW236" s="164"/>
      <c r="BX236" s="164"/>
      <c r="BY236" s="164">
        <f>IFERROR(VLOOKUP($E236,'Pre-Assessment Estimator'!$E$11:$AI$228,'Pre-Assessment Estimator'!AI$2,FALSE),"")</f>
        <v>0</v>
      </c>
      <c r="BZ236" s="164" t="str">
        <f>IFERROR(VLOOKUP($BX236,$E$294:$H$327,F$292,FALSE),"")</f>
        <v/>
      </c>
      <c r="CA236" s="164" t="str">
        <f>IFERROR(VLOOKUP($BX236,$E$294:$H$327,G$292,FALSE),"")</f>
        <v/>
      </c>
      <c r="CB236" s="164"/>
      <c r="CC236" s="96" t="str">
        <f>IFERROR(VLOOKUP($BX236,$E$294:$H$327,I$292,FALSE),"")</f>
        <v/>
      </c>
    </row>
    <row r="237" spans="1:81" ht="15.75" thickBot="1" x14ac:dyDescent="0.3">
      <c r="A237" s="96">
        <v>229</v>
      </c>
      <c r="B237" s="96" t="s">
        <v>739</v>
      </c>
      <c r="C237" s="96" t="s">
        <v>120</v>
      </c>
      <c r="D237" s="222" t="s">
        <v>739</v>
      </c>
      <c r="E237" s="977" t="s">
        <v>614</v>
      </c>
      <c r="F237" s="769" t="s">
        <v>233</v>
      </c>
      <c r="G237" s="769" t="s">
        <v>233</v>
      </c>
      <c r="H237" s="769" t="s">
        <v>233</v>
      </c>
      <c r="I237" s="769" t="s">
        <v>233</v>
      </c>
      <c r="J237" s="769" t="s">
        <v>233</v>
      </c>
      <c r="K237" s="769" t="s">
        <v>233</v>
      </c>
      <c r="L237" s="769" t="s">
        <v>233</v>
      </c>
      <c r="M237" s="769" t="s">
        <v>233</v>
      </c>
      <c r="N237" s="769" t="s">
        <v>233</v>
      </c>
      <c r="O237" s="769" t="s">
        <v>233</v>
      </c>
      <c r="P237" s="769" t="s">
        <v>233</v>
      </c>
      <c r="Q237" s="770" t="s">
        <v>233</v>
      </c>
      <c r="R237" s="770" t="s">
        <v>233</v>
      </c>
      <c r="T237" s="221" t="str">
        <f t="shared" si="596"/>
        <v>Yes/No</v>
      </c>
      <c r="U237" s="241"/>
      <c r="V237" s="239"/>
      <c r="W237" s="167"/>
      <c r="X237" s="167"/>
      <c r="Y237" s="168"/>
      <c r="Z237" s="168"/>
      <c r="AA237" s="169"/>
      <c r="AB237" s="213" t="str">
        <f t="shared" si="597"/>
        <v>Yes/No</v>
      </c>
      <c r="AD237" s="171"/>
      <c r="AE237" s="240" t="s">
        <v>234</v>
      </c>
      <c r="AF237" s="240" t="s">
        <v>234</v>
      </c>
      <c r="AG237" s="240" t="s">
        <v>234</v>
      </c>
      <c r="AI237" s="214">
        <f>IF(VLOOKUP(E237,'Pre-Assessment Estimator'!$E$11:$AB$228,'Pre-Assessment Estimator'!$G$2,FALSE)&gt;AB237,AB237,VLOOKUP(E237,'Pre-Assessment Estimator'!$E$11:$AB$228,'Pre-Assessment Estimator'!$G$2,FALSE))</f>
        <v>0</v>
      </c>
      <c r="AJ237" s="172">
        <f>IF(VLOOKUP(E237,'Pre-Assessment Estimator'!$E$11:$AB$228,'Pre-Assessment Estimator'!$N$2,FALSE)&gt;AB237,AB237,VLOOKUP(E237,'Pre-Assessment Estimator'!$E$11:$AB$228,'Pre-Assessment Estimator'!$N$2,FALSE))</f>
        <v>0</v>
      </c>
      <c r="AK237" s="172">
        <f>IF(VLOOKUP(E237,'Pre-Assessment Estimator'!$E$11:$AB$228,'Pre-Assessment Estimator'!$U$2,FALSE)&gt;AB237,AB237,VLOOKUP(E237,'Pre-Assessment Estimator'!$E$11:$AB$228,'Pre-Assessment Estimator'!$U$2,FALSE))</f>
        <v>0</v>
      </c>
      <c r="AM237" s="312"/>
      <c r="AN237" s="179"/>
      <c r="AO237" s="179"/>
      <c r="AP237" s="179"/>
      <c r="AQ237" s="180"/>
      <c r="AS237" s="312"/>
      <c r="AT237" s="179"/>
      <c r="AU237" s="179"/>
      <c r="AV237" s="179"/>
      <c r="AW237" s="180"/>
      <c r="AY237" s="182">
        <f t="shared" si="621"/>
        <v>0</v>
      </c>
      <c r="AZ237" s="183">
        <f t="shared" si="621"/>
        <v>0</v>
      </c>
      <c r="BA237" s="183">
        <f t="shared" si="621"/>
        <v>0</v>
      </c>
      <c r="BB237" s="183">
        <f t="shared" si="621"/>
        <v>0</v>
      </c>
      <c r="BC237" s="187">
        <f t="shared" si="622"/>
        <v>0</v>
      </c>
      <c r="BD237" s="1122">
        <v>9</v>
      </c>
      <c r="BE237" s="164" t="str">
        <f t="shared" si="603"/>
        <v>N/A</v>
      </c>
      <c r="BF237" s="185"/>
      <c r="BG237" s="1122">
        <v>9</v>
      </c>
      <c r="BH237" s="164" t="str">
        <f t="shared" si="605"/>
        <v>N/A</v>
      </c>
      <c r="BI237" s="185"/>
      <c r="BJ237" s="1122">
        <v>9</v>
      </c>
      <c r="BK237" s="164" t="str">
        <f t="shared" si="607"/>
        <v>N/A</v>
      </c>
      <c r="BL237" s="185"/>
      <c r="BO237" s="167"/>
      <c r="BP237" s="167"/>
      <c r="BQ237" s="167" t="str">
        <f t="shared" si="554"/>
        <v/>
      </c>
      <c r="BR237" s="167">
        <f t="shared" si="608"/>
        <v>9</v>
      </c>
      <c r="BS237" s="167">
        <f t="shared" si="609"/>
        <v>9</v>
      </c>
      <c r="BT237" s="167">
        <f t="shared" si="610"/>
        <v>9</v>
      </c>
      <c r="BW237" s="167"/>
      <c r="BX237" s="167"/>
      <c r="BY237" s="167">
        <f>IFERROR(VLOOKUP($E237,'Pre-Assessment Estimator'!$E$11:$AI$228,'Pre-Assessment Estimator'!AI$2,FALSE),"")</f>
        <v>0</v>
      </c>
      <c r="BZ237" s="167" t="str">
        <f>IFERROR(VLOOKUP($BX237,$E$294:$H$327,F$292,FALSE),"")</f>
        <v/>
      </c>
      <c r="CA237" s="167" t="str">
        <f>IFERROR(VLOOKUP($BX237,$E$294:$H$327,G$292,FALSE),"")</f>
        <v/>
      </c>
      <c r="CB237" s="167"/>
      <c r="CC237" s="96" t="str">
        <f>IFERROR(VLOOKUP($BX237,$E$294:$H$327,I$292,FALSE),"")</f>
        <v/>
      </c>
    </row>
    <row r="238" spans="1:81" ht="15.75" thickBot="1" x14ac:dyDescent="0.3">
      <c r="A238" s="96">
        <v>230</v>
      </c>
      <c r="B238" s="96" t="s">
        <v>769</v>
      </c>
      <c r="C238" s="96" t="s">
        <v>172</v>
      </c>
      <c r="D238" s="728" t="s">
        <v>769</v>
      </c>
      <c r="E238" s="971" t="s">
        <v>645</v>
      </c>
      <c r="F238" s="771" t="s">
        <v>233</v>
      </c>
      <c r="G238" s="771" t="s">
        <v>233</v>
      </c>
      <c r="H238" s="771" t="s">
        <v>233</v>
      </c>
      <c r="I238" s="771" t="s">
        <v>233</v>
      </c>
      <c r="J238" s="771" t="s">
        <v>233</v>
      </c>
      <c r="K238" s="771" t="s">
        <v>233</v>
      </c>
      <c r="L238" s="771" t="s">
        <v>233</v>
      </c>
      <c r="M238" s="771" t="s">
        <v>233</v>
      </c>
      <c r="N238" s="771" t="s">
        <v>233</v>
      </c>
      <c r="O238" s="771" t="s">
        <v>233</v>
      </c>
      <c r="P238" s="771" t="s">
        <v>233</v>
      </c>
      <c r="Q238" s="772" t="s">
        <v>233</v>
      </c>
      <c r="R238" s="772" t="s">
        <v>233</v>
      </c>
      <c r="T238" s="221" t="str">
        <f t="shared" si="596"/>
        <v>Yes/No</v>
      </c>
      <c r="U238" s="241"/>
      <c r="V238" s="239"/>
      <c r="W238" s="167"/>
      <c r="X238" s="167"/>
      <c r="Y238" s="168"/>
      <c r="Z238" s="168"/>
      <c r="AA238" s="169"/>
      <c r="AB238" s="213" t="str">
        <f t="shared" si="597"/>
        <v>Yes/No</v>
      </c>
      <c r="AD238" s="171"/>
      <c r="AE238" s="240" t="s">
        <v>234</v>
      </c>
      <c r="AF238" s="240" t="s">
        <v>234</v>
      </c>
      <c r="AG238" s="240" t="s">
        <v>234</v>
      </c>
      <c r="AI238" s="214">
        <f>IF(VLOOKUP(E238,'Pre-Assessment Estimator'!$E$11:$AB$228,'Pre-Assessment Estimator'!$G$2,FALSE)&gt;AB238,AB238,VLOOKUP(E238,'Pre-Assessment Estimator'!$E$11:$AB$228,'Pre-Assessment Estimator'!$G$2,FALSE))</f>
        <v>0</v>
      </c>
      <c r="AJ238" s="172">
        <f>IF(VLOOKUP(E238,'Pre-Assessment Estimator'!$E$11:$AB$228,'Pre-Assessment Estimator'!$N$2,FALSE)&gt;AB238,AB238,VLOOKUP(E238,'Pre-Assessment Estimator'!$E$11:$AB$228,'Pre-Assessment Estimator'!$N$2,FALSE))</f>
        <v>0</v>
      </c>
      <c r="AK238" s="172">
        <f>IF(VLOOKUP(E238,'Pre-Assessment Estimator'!$E$11:$AB$228,'Pre-Assessment Estimator'!$U$2,FALSE)&gt;AB238,AB238,VLOOKUP(E238,'Pre-Assessment Estimator'!$E$11:$AB$228,'Pre-Assessment Estimator'!$U$2,FALSE))</f>
        <v>0</v>
      </c>
      <c r="AM238" s="968" t="s">
        <v>12</v>
      </c>
      <c r="AN238" s="969" t="s">
        <v>12</v>
      </c>
      <c r="AO238" s="969" t="s">
        <v>12</v>
      </c>
      <c r="AP238" s="969" t="s">
        <v>12</v>
      </c>
      <c r="AQ238" s="970" t="s">
        <v>12</v>
      </c>
      <c r="AR238" s="130"/>
      <c r="AS238" s="968" t="s">
        <v>12</v>
      </c>
      <c r="AT238" s="969" t="s">
        <v>12</v>
      </c>
      <c r="AU238" s="969" t="s">
        <v>12</v>
      </c>
      <c r="AV238" s="969" t="s">
        <v>12</v>
      </c>
      <c r="AW238" s="970" t="s">
        <v>12</v>
      </c>
      <c r="AY238" s="182" t="str">
        <f t="shared" ref="AY238" si="623">IF($E$6=$H$9,AS238,AM238)</f>
        <v>Yes</v>
      </c>
      <c r="AZ238" s="183" t="str">
        <f t="shared" ref="AZ238" si="624">IF($E$6=$H$9,AT238,AN238)</f>
        <v>Yes</v>
      </c>
      <c r="BA238" s="183" t="str">
        <f t="shared" ref="BA238" si="625">IF($E$6=$H$9,AU238,AO238)</f>
        <v>Yes</v>
      </c>
      <c r="BB238" s="183" t="str">
        <f t="shared" ref="BB238" si="626">IF($E$6=$H$9,AV238,AP238)</f>
        <v>Yes</v>
      </c>
      <c r="BC238" s="187" t="str">
        <f t="shared" si="622"/>
        <v>Yes</v>
      </c>
      <c r="BD238" s="182">
        <f t="shared" ref="BD238:BD240" si="627">IF(AI238="Yes",5,0)</f>
        <v>0</v>
      </c>
      <c r="BE238" s="164" t="str">
        <f t="shared" si="603"/>
        <v>Unclassified</v>
      </c>
      <c r="BF238" s="185"/>
      <c r="BG238" s="182">
        <f t="shared" ref="BG238:BG240" si="628">IF(AJ238="Yes",5,0)</f>
        <v>0</v>
      </c>
      <c r="BH238" s="164" t="str">
        <f t="shared" si="605"/>
        <v>Unclassified</v>
      </c>
      <c r="BI238" s="185"/>
      <c r="BJ238" s="182">
        <f t="shared" ref="BJ238:BJ240" si="629">IF(AK238="Yes",5,0)</f>
        <v>0</v>
      </c>
      <c r="BK238" s="164" t="str">
        <f t="shared" si="607"/>
        <v>Unclassified</v>
      </c>
      <c r="BL238" s="185"/>
      <c r="BO238" s="167"/>
      <c r="BP238" s="167"/>
      <c r="BQ238" s="167" t="str">
        <f t="shared" si="554"/>
        <v/>
      </c>
      <c r="BR238" s="167">
        <f t="shared" si="608"/>
        <v>9</v>
      </c>
      <c r="BS238" s="167">
        <f t="shared" si="609"/>
        <v>9</v>
      </c>
      <c r="BT238" s="167">
        <f t="shared" si="610"/>
        <v>9</v>
      </c>
      <c r="BW238" s="193"/>
      <c r="BX238" s="193"/>
      <c r="BY238" s="193"/>
      <c r="BZ238" s="193"/>
      <c r="CA238" s="193"/>
      <c r="CB238" s="193"/>
    </row>
    <row r="239" spans="1:81" ht="15.75" thickBot="1" x14ac:dyDescent="0.3">
      <c r="A239" s="96">
        <v>231</v>
      </c>
      <c r="B239" s="96" t="s">
        <v>772</v>
      </c>
      <c r="C239" s="96" t="s">
        <v>477</v>
      </c>
      <c r="D239" s="728" t="s">
        <v>772</v>
      </c>
      <c r="E239" s="1252" t="s">
        <v>1060</v>
      </c>
      <c r="F239" s="771" t="s">
        <v>233</v>
      </c>
      <c r="G239" s="771" t="s">
        <v>233</v>
      </c>
      <c r="H239" s="771" t="s">
        <v>233</v>
      </c>
      <c r="I239" s="771" t="s">
        <v>233</v>
      </c>
      <c r="J239" s="771" t="s">
        <v>233</v>
      </c>
      <c r="K239" s="771" t="s">
        <v>233</v>
      </c>
      <c r="L239" s="771" t="s">
        <v>233</v>
      </c>
      <c r="M239" s="771" t="s">
        <v>233</v>
      </c>
      <c r="N239" s="771" t="s">
        <v>233</v>
      </c>
      <c r="O239" s="771" t="s">
        <v>233</v>
      </c>
      <c r="P239" s="771" t="s">
        <v>233</v>
      </c>
      <c r="Q239" s="772" t="s">
        <v>233</v>
      </c>
      <c r="R239" s="772" t="s">
        <v>233</v>
      </c>
      <c r="T239" s="221" t="str">
        <f t="shared" si="596"/>
        <v>Yes/No</v>
      </c>
      <c r="U239" s="241"/>
      <c r="V239" s="239"/>
      <c r="W239" s="167"/>
      <c r="X239" s="167"/>
      <c r="Y239" s="168"/>
      <c r="Z239" s="168"/>
      <c r="AA239" s="169"/>
      <c r="AB239" s="213" t="str">
        <f t="shared" si="597"/>
        <v>Yes/No</v>
      </c>
      <c r="AD239" s="171"/>
      <c r="AE239" s="240" t="s">
        <v>234</v>
      </c>
      <c r="AF239" s="240" t="s">
        <v>234</v>
      </c>
      <c r="AG239" s="240" t="s">
        <v>234</v>
      </c>
      <c r="AI239" s="214">
        <f>IF(VLOOKUP(E239,'Pre-Assessment Estimator'!$E$11:$AB$228,'Pre-Assessment Estimator'!$G$2,FALSE)&gt;AB239,AB239,VLOOKUP(E239,'Pre-Assessment Estimator'!$E$11:$AB$228,'Pre-Assessment Estimator'!$G$2,FALSE))</f>
        <v>0</v>
      </c>
      <c r="AJ239" s="172">
        <f>IF(VLOOKUP(E239,'Pre-Assessment Estimator'!$E$11:$AB$228,'Pre-Assessment Estimator'!$N$2,FALSE)&gt;AB239,AB239,VLOOKUP(E239,'Pre-Assessment Estimator'!$E$11:$AB$228,'Pre-Assessment Estimator'!$N$2,FALSE))</f>
        <v>0</v>
      </c>
      <c r="AK239" s="172">
        <f>IF(VLOOKUP(E239,'Pre-Assessment Estimator'!$E$11:$AB$228,'Pre-Assessment Estimator'!$U$2,FALSE)&gt;AB239,AB239,VLOOKUP(E239,'Pre-Assessment Estimator'!$E$11:$AB$228,'Pre-Assessment Estimator'!$U$2,FALSE))</f>
        <v>0</v>
      </c>
      <c r="AM239" s="965" t="s">
        <v>12</v>
      </c>
      <c r="AN239" s="966" t="s">
        <v>12</v>
      </c>
      <c r="AO239" s="966" t="s">
        <v>12</v>
      </c>
      <c r="AP239" s="966" t="s">
        <v>12</v>
      </c>
      <c r="AQ239" s="967" t="s">
        <v>12</v>
      </c>
      <c r="AR239" s="137"/>
      <c r="AS239" s="965" t="s">
        <v>12</v>
      </c>
      <c r="AT239" s="966" t="s">
        <v>12</v>
      </c>
      <c r="AU239" s="966" t="s">
        <v>12</v>
      </c>
      <c r="AV239" s="966" t="s">
        <v>12</v>
      </c>
      <c r="AW239" s="967" t="s">
        <v>12</v>
      </c>
      <c r="AY239" s="182" t="str">
        <f t="shared" ref="AY239:AY244" si="630">IF($E$6=$H$9,AS239,AM239)</f>
        <v>Yes</v>
      </c>
      <c r="AZ239" s="183" t="str">
        <f t="shared" ref="AZ239:AZ244" si="631">IF($E$6=$H$9,AT239,AN239)</f>
        <v>Yes</v>
      </c>
      <c r="BA239" s="183" t="str">
        <f t="shared" ref="BA239:BA244" si="632">IF($E$6=$H$9,AU239,AO239)</f>
        <v>Yes</v>
      </c>
      <c r="BB239" s="183" t="str">
        <f t="shared" ref="BB239:BB244" si="633">IF($E$6=$H$9,AV239,AP239)</f>
        <v>Yes</v>
      </c>
      <c r="BC239" s="187" t="str">
        <f t="shared" si="622"/>
        <v>Yes</v>
      </c>
      <c r="BD239" s="182">
        <f t="shared" si="627"/>
        <v>0</v>
      </c>
      <c r="BE239" s="164" t="str">
        <f t="shared" si="603"/>
        <v>Unclassified</v>
      </c>
      <c r="BF239" s="185"/>
      <c r="BG239" s="182">
        <f t="shared" si="628"/>
        <v>0</v>
      </c>
      <c r="BH239" s="164" t="str">
        <f t="shared" si="605"/>
        <v>Unclassified</v>
      </c>
      <c r="BI239" s="185"/>
      <c r="BJ239" s="182">
        <f t="shared" si="629"/>
        <v>0</v>
      </c>
      <c r="BK239" s="164" t="str">
        <f t="shared" si="607"/>
        <v>Unclassified</v>
      </c>
      <c r="BL239" s="185"/>
      <c r="BO239" s="167"/>
      <c r="BP239" s="167" t="s">
        <v>12</v>
      </c>
      <c r="BQ239" s="167" t="str">
        <f t="shared" si="554"/>
        <v>Yes</v>
      </c>
      <c r="BR239" s="167">
        <f t="shared" si="608"/>
        <v>0</v>
      </c>
      <c r="BS239" s="167">
        <f t="shared" si="609"/>
        <v>0</v>
      </c>
      <c r="BT239" s="167">
        <f t="shared" si="610"/>
        <v>0</v>
      </c>
      <c r="BW239" s="193"/>
      <c r="BX239" s="193"/>
      <c r="BY239" s="193"/>
      <c r="BZ239" s="193"/>
      <c r="CA239" s="193"/>
      <c r="CB239" s="193"/>
    </row>
    <row r="240" spans="1:81" ht="15.75" thickBot="1" x14ac:dyDescent="0.3">
      <c r="A240" s="96">
        <v>232</v>
      </c>
      <c r="B240" s="96" t="s">
        <v>775</v>
      </c>
      <c r="C240" s="96" t="s">
        <v>173</v>
      </c>
      <c r="D240" s="728" t="s">
        <v>775</v>
      </c>
      <c r="E240" s="972" t="s">
        <v>988</v>
      </c>
      <c r="F240" s="771" t="s">
        <v>233</v>
      </c>
      <c r="G240" s="771" t="s">
        <v>233</v>
      </c>
      <c r="H240" s="771" t="s">
        <v>233</v>
      </c>
      <c r="I240" s="771" t="s">
        <v>233</v>
      </c>
      <c r="J240" s="771" t="s">
        <v>233</v>
      </c>
      <c r="K240" s="771" t="s">
        <v>233</v>
      </c>
      <c r="L240" s="771" t="s">
        <v>233</v>
      </c>
      <c r="M240" s="771" t="s">
        <v>233</v>
      </c>
      <c r="N240" s="771" t="s">
        <v>233</v>
      </c>
      <c r="O240" s="771" t="s">
        <v>233</v>
      </c>
      <c r="P240" s="771" t="s">
        <v>233</v>
      </c>
      <c r="Q240" s="772" t="s">
        <v>233</v>
      </c>
      <c r="R240" s="772" t="s">
        <v>233</v>
      </c>
      <c r="T240" s="221" t="str">
        <f t="shared" si="596"/>
        <v>Yes/No</v>
      </c>
      <c r="U240" s="241"/>
      <c r="V240" s="239"/>
      <c r="W240" s="167"/>
      <c r="X240" s="167"/>
      <c r="Y240" s="168"/>
      <c r="Z240" s="168"/>
      <c r="AA240" s="169"/>
      <c r="AB240" s="213" t="str">
        <f t="shared" si="597"/>
        <v>Yes/No</v>
      </c>
      <c r="AD240" s="171"/>
      <c r="AE240" s="240" t="s">
        <v>234</v>
      </c>
      <c r="AF240" s="240" t="s">
        <v>234</v>
      </c>
      <c r="AG240" s="240" t="s">
        <v>234</v>
      </c>
      <c r="AI240" s="214">
        <f>IF(VLOOKUP(E240,'Pre-Assessment Estimator'!$E$11:$AB$228,'Pre-Assessment Estimator'!$G$2,FALSE)&gt;AB240,AB240,VLOOKUP(E240,'Pre-Assessment Estimator'!$E$11:$AB$228,'Pre-Assessment Estimator'!$G$2,FALSE))</f>
        <v>0</v>
      </c>
      <c r="AJ240" s="172">
        <f>IF(VLOOKUP(E240,'Pre-Assessment Estimator'!$E$11:$AB$228,'Pre-Assessment Estimator'!$N$2,FALSE)&gt;AB240,AB240,VLOOKUP(E240,'Pre-Assessment Estimator'!$E$11:$AB$228,'Pre-Assessment Estimator'!$N$2,FALSE))</f>
        <v>0</v>
      </c>
      <c r="AK240" s="172">
        <f>IF(VLOOKUP(E240,'Pre-Assessment Estimator'!$E$11:$AB$228,'Pre-Assessment Estimator'!$U$2,FALSE)&gt;AB240,AB240,VLOOKUP(E240,'Pre-Assessment Estimator'!$E$11:$AB$228,'Pre-Assessment Estimator'!$U$2,FALSE))</f>
        <v>0</v>
      </c>
      <c r="AM240" s="965" t="s">
        <v>12</v>
      </c>
      <c r="AN240" s="966" t="s">
        <v>12</v>
      </c>
      <c r="AO240" s="966" t="s">
        <v>12</v>
      </c>
      <c r="AP240" s="966" t="s">
        <v>12</v>
      </c>
      <c r="AQ240" s="967" t="s">
        <v>12</v>
      </c>
      <c r="AR240" s="137"/>
      <c r="AS240" s="965" t="s">
        <v>12</v>
      </c>
      <c r="AT240" s="966" t="s">
        <v>12</v>
      </c>
      <c r="AU240" s="966" t="s">
        <v>12</v>
      </c>
      <c r="AV240" s="966" t="s">
        <v>12</v>
      </c>
      <c r="AW240" s="967" t="s">
        <v>12</v>
      </c>
      <c r="AY240" s="182" t="str">
        <f t="shared" si="630"/>
        <v>Yes</v>
      </c>
      <c r="AZ240" s="183" t="str">
        <f t="shared" si="631"/>
        <v>Yes</v>
      </c>
      <c r="BA240" s="183" t="str">
        <f t="shared" si="632"/>
        <v>Yes</v>
      </c>
      <c r="BB240" s="183" t="str">
        <f t="shared" si="633"/>
        <v>Yes</v>
      </c>
      <c r="BC240" s="187" t="str">
        <f t="shared" si="622"/>
        <v>Yes</v>
      </c>
      <c r="BD240" s="182">
        <f t="shared" si="627"/>
        <v>0</v>
      </c>
      <c r="BE240" s="164" t="str">
        <f t="shared" si="603"/>
        <v>Unclassified</v>
      </c>
      <c r="BF240" s="185"/>
      <c r="BG240" s="182">
        <f t="shared" si="628"/>
        <v>0</v>
      </c>
      <c r="BH240" s="164" t="str">
        <f t="shared" si="605"/>
        <v>Unclassified</v>
      </c>
      <c r="BI240" s="185"/>
      <c r="BJ240" s="182">
        <f t="shared" si="629"/>
        <v>0</v>
      </c>
      <c r="BK240" s="164" t="str">
        <f t="shared" si="607"/>
        <v>Unclassified</v>
      </c>
      <c r="BL240" s="185"/>
      <c r="BO240" s="167"/>
      <c r="BP240" s="167"/>
      <c r="BQ240" s="167" t="str">
        <f t="shared" si="554"/>
        <v/>
      </c>
      <c r="BR240" s="167">
        <f t="shared" si="608"/>
        <v>9</v>
      </c>
      <c r="BS240" s="167">
        <f t="shared" si="609"/>
        <v>9</v>
      </c>
      <c r="BT240" s="167">
        <f t="shared" si="610"/>
        <v>9</v>
      </c>
      <c r="BW240" s="193"/>
      <c r="BX240" s="193"/>
      <c r="BY240" s="193"/>
      <c r="BZ240" s="193"/>
      <c r="CA240" s="193"/>
      <c r="CB240" s="193"/>
    </row>
    <row r="241" spans="1:81" ht="15.75" thickBot="1" x14ac:dyDescent="0.3">
      <c r="A241" s="96">
        <v>233</v>
      </c>
      <c r="B241" s="96" t="s">
        <v>778</v>
      </c>
      <c r="C241" s="96" t="s">
        <v>174</v>
      </c>
      <c r="D241" s="728" t="s">
        <v>778</v>
      </c>
      <c r="E241" s="972" t="s">
        <v>654</v>
      </c>
      <c r="F241" s="771" t="s">
        <v>233</v>
      </c>
      <c r="G241" s="771" t="s">
        <v>233</v>
      </c>
      <c r="H241" s="771" t="s">
        <v>233</v>
      </c>
      <c r="I241" s="771" t="s">
        <v>233</v>
      </c>
      <c r="J241" s="771" t="s">
        <v>233</v>
      </c>
      <c r="K241" s="771" t="s">
        <v>233</v>
      </c>
      <c r="L241" s="771" t="s">
        <v>233</v>
      </c>
      <c r="M241" s="771" t="s">
        <v>233</v>
      </c>
      <c r="N241" s="771" t="s">
        <v>233</v>
      </c>
      <c r="O241" s="771" t="s">
        <v>233</v>
      </c>
      <c r="P241" s="771" t="s">
        <v>233</v>
      </c>
      <c r="Q241" s="772" t="s">
        <v>233</v>
      </c>
      <c r="R241" s="772" t="s">
        <v>233</v>
      </c>
      <c r="T241" s="221" t="str">
        <f t="shared" si="596"/>
        <v>Yes/No</v>
      </c>
      <c r="U241" s="241"/>
      <c r="V241" s="239"/>
      <c r="W241" s="167"/>
      <c r="X241" s="167"/>
      <c r="Y241" s="168"/>
      <c r="Z241" s="168"/>
      <c r="AA241" s="169"/>
      <c r="AB241" s="213" t="str">
        <f t="shared" si="597"/>
        <v>Yes/No</v>
      </c>
      <c r="AD241" s="171"/>
      <c r="AE241" s="240" t="s">
        <v>234</v>
      </c>
      <c r="AF241" s="240" t="s">
        <v>234</v>
      </c>
      <c r="AG241" s="240" t="s">
        <v>234</v>
      </c>
      <c r="AI241" s="214">
        <f>IF(VLOOKUP(E241,'Pre-Assessment Estimator'!$E$11:$AB$228,'Pre-Assessment Estimator'!$G$2,FALSE)&gt;AB241,AB241,VLOOKUP(E241,'Pre-Assessment Estimator'!$E$11:$AB$228,'Pre-Assessment Estimator'!$G$2,FALSE))</f>
        <v>0</v>
      </c>
      <c r="AJ241" s="172">
        <f>IF(VLOOKUP(E241,'Pre-Assessment Estimator'!$E$11:$AB$228,'Pre-Assessment Estimator'!$N$2,FALSE)&gt;AB241,AB241,VLOOKUP(E241,'Pre-Assessment Estimator'!$E$11:$AB$228,'Pre-Assessment Estimator'!$N$2,FALSE))</f>
        <v>0</v>
      </c>
      <c r="AK241" s="172">
        <f>IF(VLOOKUP(E241,'Pre-Assessment Estimator'!$E$11:$AB$228,'Pre-Assessment Estimator'!$U$2,FALSE)&gt;AB241,AB241,VLOOKUP(E241,'Pre-Assessment Estimator'!$E$11:$AB$228,'Pre-Assessment Estimator'!$U$2,FALSE))</f>
        <v>0</v>
      </c>
      <c r="AM241" s="729"/>
      <c r="AN241" s="232"/>
      <c r="AO241" s="232"/>
      <c r="AP241" s="232"/>
      <c r="AQ241" s="233"/>
      <c r="AS241" s="729"/>
      <c r="AT241" s="232"/>
      <c r="AU241" s="232"/>
      <c r="AV241" s="232"/>
      <c r="AW241" s="233"/>
      <c r="AY241" s="182">
        <f t="shared" ref="AY241" si="634">IF($E$6=$H$9,AS241,AM241)</f>
        <v>0</v>
      </c>
      <c r="AZ241" s="183">
        <f t="shared" ref="AZ241" si="635">IF($E$6=$H$9,AT241,AN241)</f>
        <v>0</v>
      </c>
      <c r="BA241" s="183">
        <f t="shared" ref="BA241" si="636">IF($E$6=$H$9,AU241,AO241)</f>
        <v>0</v>
      </c>
      <c r="BB241" s="183">
        <f t="shared" ref="BB241" si="637">IF($E$6=$H$9,AV241,AP241)</f>
        <v>0</v>
      </c>
      <c r="BC241" s="187">
        <f t="shared" ref="BC241" si="638">IF($E$6=$H$9,AW241,AQ241)</f>
        <v>0</v>
      </c>
      <c r="BD241" s="1122">
        <v>9</v>
      </c>
      <c r="BE241" s="164" t="str">
        <f t="shared" si="603"/>
        <v>N/A</v>
      </c>
      <c r="BF241" s="185"/>
      <c r="BG241" s="1122">
        <v>9</v>
      </c>
      <c r="BH241" s="164" t="str">
        <f t="shared" si="605"/>
        <v>N/A</v>
      </c>
      <c r="BI241" s="185"/>
      <c r="BJ241" s="1122">
        <v>9</v>
      </c>
      <c r="BK241" s="164" t="str">
        <f t="shared" si="607"/>
        <v>N/A</v>
      </c>
      <c r="BL241" s="185"/>
      <c r="BO241" s="167"/>
      <c r="BP241" s="167"/>
      <c r="BQ241" s="167" t="str">
        <f t="shared" si="554"/>
        <v/>
      </c>
      <c r="BR241" s="167">
        <f t="shared" si="608"/>
        <v>9</v>
      </c>
      <c r="BS241" s="167">
        <f t="shared" si="609"/>
        <v>9</v>
      </c>
      <c r="BT241" s="167">
        <f t="shared" si="610"/>
        <v>9</v>
      </c>
      <c r="BW241" s="193"/>
      <c r="BX241" s="193"/>
      <c r="BY241" s="193"/>
      <c r="BZ241" s="193"/>
      <c r="CA241" s="193"/>
      <c r="CB241" s="193"/>
    </row>
    <row r="242" spans="1:81" ht="15.75" thickBot="1" x14ac:dyDescent="0.3">
      <c r="A242" s="96">
        <v>234</v>
      </c>
      <c r="B242" s="96" t="s">
        <v>797</v>
      </c>
      <c r="C242" s="96" t="s">
        <v>180</v>
      </c>
      <c r="D242" s="728" t="s">
        <v>797</v>
      </c>
      <c r="E242" s="972" t="s">
        <v>1029</v>
      </c>
      <c r="F242" s="771" t="s">
        <v>233</v>
      </c>
      <c r="G242" s="771" t="s">
        <v>233</v>
      </c>
      <c r="H242" s="771" t="s">
        <v>233</v>
      </c>
      <c r="I242" s="771" t="s">
        <v>233</v>
      </c>
      <c r="J242" s="771" t="s">
        <v>233</v>
      </c>
      <c r="K242" s="771" t="s">
        <v>233</v>
      </c>
      <c r="L242" s="771" t="s">
        <v>233</v>
      </c>
      <c r="M242" s="771" t="s">
        <v>233</v>
      </c>
      <c r="N242" s="771" t="s">
        <v>233</v>
      </c>
      <c r="O242" s="771" t="s">
        <v>233</v>
      </c>
      <c r="P242" s="771" t="s">
        <v>233</v>
      </c>
      <c r="Q242" s="772" t="s">
        <v>233</v>
      </c>
      <c r="R242" s="772" t="s">
        <v>233</v>
      </c>
      <c r="T242" s="221" t="str">
        <f t="shared" si="596"/>
        <v>Yes/No</v>
      </c>
      <c r="U242" s="241"/>
      <c r="V242" s="239"/>
      <c r="W242" s="167"/>
      <c r="X242" s="167"/>
      <c r="Y242" s="168"/>
      <c r="Z242" s="168"/>
      <c r="AA242" s="169"/>
      <c r="AB242" s="213" t="str">
        <f t="shared" si="597"/>
        <v>Yes/No</v>
      </c>
      <c r="AD242" s="171"/>
      <c r="AE242" s="240" t="s">
        <v>234</v>
      </c>
      <c r="AF242" s="240" t="s">
        <v>234</v>
      </c>
      <c r="AG242" s="240" t="s">
        <v>234</v>
      </c>
      <c r="AI242" s="214">
        <f>IF(VLOOKUP(E242,'Pre-Assessment Estimator'!$E$11:$AB$228,'Pre-Assessment Estimator'!$G$2,FALSE)&gt;AB242,AB242,VLOOKUP(E242,'Pre-Assessment Estimator'!$E$11:$AB$228,'Pre-Assessment Estimator'!$G$2,FALSE))</f>
        <v>0</v>
      </c>
      <c r="AJ242" s="172">
        <f>IF(VLOOKUP(E242,'Pre-Assessment Estimator'!$E$11:$AB$228,'Pre-Assessment Estimator'!$N$2,FALSE)&gt;AB242,AB242,VLOOKUP(E242,'Pre-Assessment Estimator'!$E$11:$AB$228,'Pre-Assessment Estimator'!$N$2,FALSE))</f>
        <v>0</v>
      </c>
      <c r="AK242" s="172">
        <f>IF(VLOOKUP(E242,'Pre-Assessment Estimator'!$E$11:$AB$228,'Pre-Assessment Estimator'!$U$2,FALSE)&gt;AB242,AB242,VLOOKUP(E242,'Pre-Assessment Estimator'!$E$11:$AB$228,'Pre-Assessment Estimator'!$U$2,FALSE))</f>
        <v>0</v>
      </c>
      <c r="AM242" s="729"/>
      <c r="AN242" s="232"/>
      <c r="AO242" s="232"/>
      <c r="AP242" s="232"/>
      <c r="AQ242" s="233"/>
      <c r="AS242" s="729"/>
      <c r="AT242" s="232"/>
      <c r="AU242" s="232"/>
      <c r="AV242" s="232"/>
      <c r="AW242" s="233"/>
      <c r="AY242" s="182">
        <f t="shared" si="630"/>
        <v>0</v>
      </c>
      <c r="AZ242" s="183">
        <f t="shared" si="631"/>
        <v>0</v>
      </c>
      <c r="BA242" s="183">
        <f t="shared" si="632"/>
        <v>0</v>
      </c>
      <c r="BB242" s="183">
        <f t="shared" si="633"/>
        <v>0</v>
      </c>
      <c r="BC242" s="187">
        <f t="shared" si="622"/>
        <v>0</v>
      </c>
      <c r="BD242" s="1122">
        <v>9</v>
      </c>
      <c r="BE242" s="164" t="str">
        <f t="shared" si="603"/>
        <v>N/A</v>
      </c>
      <c r="BF242" s="185"/>
      <c r="BG242" s="1122">
        <v>9</v>
      </c>
      <c r="BH242" s="164" t="str">
        <f t="shared" si="605"/>
        <v>N/A</v>
      </c>
      <c r="BI242" s="185"/>
      <c r="BJ242" s="1122">
        <v>9</v>
      </c>
      <c r="BK242" s="164" t="str">
        <f t="shared" si="607"/>
        <v>N/A</v>
      </c>
      <c r="BL242" s="185"/>
      <c r="BO242" s="167"/>
      <c r="BP242" s="167"/>
      <c r="BQ242" s="167"/>
      <c r="BR242" s="167">
        <f t="shared" si="608"/>
        <v>9</v>
      </c>
      <c r="BS242" s="167">
        <f t="shared" si="609"/>
        <v>9</v>
      </c>
      <c r="BT242" s="167">
        <f t="shared" si="610"/>
        <v>9</v>
      </c>
      <c r="BW242" s="193"/>
      <c r="BX242" s="193"/>
      <c r="BY242" s="193"/>
      <c r="BZ242" s="193"/>
      <c r="CA242" s="193"/>
      <c r="CB242" s="193"/>
    </row>
    <row r="243" spans="1:81" ht="15.75" thickBot="1" x14ac:dyDescent="0.3">
      <c r="A243" s="96">
        <v>235</v>
      </c>
      <c r="B243" s="96" t="s">
        <v>800</v>
      </c>
      <c r="C243" s="96" t="s">
        <v>479</v>
      </c>
      <c r="D243" s="728" t="s">
        <v>800</v>
      </c>
      <c r="E243" s="972" t="s">
        <v>674</v>
      </c>
      <c r="F243" s="771" t="s">
        <v>233</v>
      </c>
      <c r="G243" s="771" t="s">
        <v>233</v>
      </c>
      <c r="H243" s="771" t="s">
        <v>233</v>
      </c>
      <c r="I243" s="771" t="s">
        <v>233</v>
      </c>
      <c r="J243" s="771" t="s">
        <v>233</v>
      </c>
      <c r="K243" s="771" t="s">
        <v>233</v>
      </c>
      <c r="L243" s="771" t="s">
        <v>233</v>
      </c>
      <c r="M243" s="771" t="s">
        <v>233</v>
      </c>
      <c r="N243" s="771" t="s">
        <v>233</v>
      </c>
      <c r="O243" s="771" t="s">
        <v>233</v>
      </c>
      <c r="P243" s="771" t="s">
        <v>233</v>
      </c>
      <c r="Q243" s="772" t="s">
        <v>233</v>
      </c>
      <c r="R243" s="772" t="s">
        <v>233</v>
      </c>
      <c r="T243" s="221" t="str">
        <f t="shared" si="596"/>
        <v>Yes/No</v>
      </c>
      <c r="U243" s="241"/>
      <c r="V243" s="239"/>
      <c r="W243" s="167"/>
      <c r="X243" s="167"/>
      <c r="Y243" s="168"/>
      <c r="Z243" s="168"/>
      <c r="AA243" s="169"/>
      <c r="AB243" s="213" t="str">
        <f t="shared" si="597"/>
        <v>Yes/No</v>
      </c>
      <c r="AD243" s="171"/>
      <c r="AE243" s="240" t="s">
        <v>234</v>
      </c>
      <c r="AF243" s="240" t="s">
        <v>234</v>
      </c>
      <c r="AG243" s="240" t="s">
        <v>234</v>
      </c>
      <c r="AI243" s="214" t="str">
        <f>IF(AI173+AI174=LE02_credits,AD_Yes,AD_no)</f>
        <v>No</v>
      </c>
      <c r="AJ243" s="172" t="str">
        <f>IF(AJ173+AJ174=LE02_credits,AD_Yes,AD_no)</f>
        <v>No</v>
      </c>
      <c r="AK243" s="172" t="str">
        <f>IF(AK173+AK174=LE02_credits,AD_Yes,AD_no)</f>
        <v>No</v>
      </c>
      <c r="AM243" s="729"/>
      <c r="AN243" s="232"/>
      <c r="AO243" s="232"/>
      <c r="AP243" s="232"/>
      <c r="AQ243" s="233"/>
      <c r="AS243" s="729"/>
      <c r="AT243" s="232"/>
      <c r="AU243" s="232"/>
      <c r="AV243" s="232"/>
      <c r="AW243" s="233"/>
      <c r="AY243" s="182">
        <f t="shared" si="630"/>
        <v>0</v>
      </c>
      <c r="AZ243" s="183">
        <f t="shared" si="631"/>
        <v>0</v>
      </c>
      <c r="BA243" s="183">
        <f t="shared" si="632"/>
        <v>0</v>
      </c>
      <c r="BB243" s="183">
        <f t="shared" si="633"/>
        <v>0</v>
      </c>
      <c r="BC243" s="187">
        <f t="shared" si="622"/>
        <v>0</v>
      </c>
      <c r="BD243" s="1122">
        <v>9</v>
      </c>
      <c r="BE243" s="164" t="str">
        <f t="shared" si="603"/>
        <v>N/A</v>
      </c>
      <c r="BF243" s="185"/>
      <c r="BG243" s="1122">
        <v>9</v>
      </c>
      <c r="BH243" s="164" t="str">
        <f t="shared" si="605"/>
        <v>N/A</v>
      </c>
      <c r="BI243" s="185"/>
      <c r="BJ243" s="1122">
        <v>9</v>
      </c>
      <c r="BK243" s="164" t="str">
        <f t="shared" si="607"/>
        <v>N/A</v>
      </c>
      <c r="BL243" s="185"/>
      <c r="BO243" s="167"/>
      <c r="BP243" s="167"/>
      <c r="BQ243" s="167" t="str">
        <f t="shared" si="554"/>
        <v/>
      </c>
      <c r="BR243" s="167">
        <f t="shared" si="608"/>
        <v>9</v>
      </c>
      <c r="BS243" s="167">
        <f t="shared" si="609"/>
        <v>9</v>
      </c>
      <c r="BT243" s="167">
        <f t="shared" si="610"/>
        <v>9</v>
      </c>
      <c r="BW243" s="193"/>
      <c r="BX243" s="193"/>
      <c r="BY243" s="193"/>
      <c r="BZ243" s="193"/>
      <c r="CA243" s="193"/>
      <c r="CB243" s="193"/>
    </row>
    <row r="244" spans="1:81" ht="15.75" thickBot="1" x14ac:dyDescent="0.3">
      <c r="A244" s="96">
        <v>236</v>
      </c>
      <c r="B244" s="96" t="s">
        <v>803</v>
      </c>
      <c r="C244" s="96" t="s">
        <v>181</v>
      </c>
      <c r="D244" s="728" t="s">
        <v>803</v>
      </c>
      <c r="E244" s="972" t="s">
        <v>989</v>
      </c>
      <c r="F244" s="771" t="s">
        <v>233</v>
      </c>
      <c r="G244" s="771" t="s">
        <v>233</v>
      </c>
      <c r="H244" s="771" t="s">
        <v>233</v>
      </c>
      <c r="I244" s="771" t="s">
        <v>233</v>
      </c>
      <c r="J244" s="771" t="s">
        <v>233</v>
      </c>
      <c r="K244" s="771" t="s">
        <v>233</v>
      </c>
      <c r="L244" s="771" t="s">
        <v>233</v>
      </c>
      <c r="M244" s="771" t="s">
        <v>233</v>
      </c>
      <c r="N244" s="771" t="s">
        <v>233</v>
      </c>
      <c r="O244" s="771" t="s">
        <v>233</v>
      </c>
      <c r="P244" s="771" t="s">
        <v>233</v>
      </c>
      <c r="Q244" s="772" t="s">
        <v>233</v>
      </c>
      <c r="R244" s="772" t="s">
        <v>233</v>
      </c>
      <c r="T244" s="221" t="str">
        <f t="shared" si="596"/>
        <v>Yes/No</v>
      </c>
      <c r="U244" s="241"/>
      <c r="V244" s="239"/>
      <c r="W244" s="167"/>
      <c r="X244" s="167"/>
      <c r="Y244" s="168"/>
      <c r="Z244" s="168"/>
      <c r="AA244" s="169"/>
      <c r="AB244" s="213" t="str">
        <f t="shared" si="597"/>
        <v>Yes/No</v>
      </c>
      <c r="AD244" s="171"/>
      <c r="AE244" s="240" t="s">
        <v>234</v>
      </c>
      <c r="AF244" s="240" t="s">
        <v>234</v>
      </c>
      <c r="AG244" s="240" t="s">
        <v>234</v>
      </c>
      <c r="AI244" s="214">
        <f>IF(VLOOKUP(E244,'Pre-Assessment Estimator'!$E$11:$AB$228,'Pre-Assessment Estimator'!$G$2,FALSE)&gt;AB244,AB244,VLOOKUP(E244,'Pre-Assessment Estimator'!$E$11:$AB$228,'Pre-Assessment Estimator'!$G$2,FALSE))</f>
        <v>0</v>
      </c>
      <c r="AJ244" s="172">
        <f>IF(VLOOKUP(E244,'Pre-Assessment Estimator'!$E$11:$AB$228,'Pre-Assessment Estimator'!$N$2,FALSE)&gt;AB244,AB244,VLOOKUP(E244,'Pre-Assessment Estimator'!$E$11:$AB$228,'Pre-Assessment Estimator'!$N$2,FALSE))</f>
        <v>0</v>
      </c>
      <c r="AK244" s="172">
        <f>IF(VLOOKUP(E244,'Pre-Assessment Estimator'!$E$11:$AB$228,'Pre-Assessment Estimator'!$U$2,FALSE)&gt;AB244,AB244,VLOOKUP(E244,'Pre-Assessment Estimator'!$E$11:$AB$228,'Pre-Assessment Estimator'!$U$2,FALSE))</f>
        <v>0</v>
      </c>
      <c r="AM244" s="729"/>
      <c r="AN244" s="232"/>
      <c r="AO244" s="232"/>
      <c r="AP244" s="232"/>
      <c r="AQ244" s="233"/>
      <c r="AS244" s="729"/>
      <c r="AT244" s="232"/>
      <c r="AU244" s="232"/>
      <c r="AV244" s="232"/>
      <c r="AW244" s="233"/>
      <c r="AY244" s="182">
        <f t="shared" si="630"/>
        <v>0</v>
      </c>
      <c r="AZ244" s="183">
        <f t="shared" si="631"/>
        <v>0</v>
      </c>
      <c r="BA244" s="183">
        <f t="shared" si="632"/>
        <v>0</v>
      </c>
      <c r="BB244" s="183">
        <f t="shared" si="633"/>
        <v>0</v>
      </c>
      <c r="BC244" s="187">
        <f t="shared" si="622"/>
        <v>0</v>
      </c>
      <c r="BD244" s="1122">
        <v>9</v>
      </c>
      <c r="BE244" s="164" t="str">
        <f t="shared" si="603"/>
        <v>N/A</v>
      </c>
      <c r="BF244" s="185"/>
      <c r="BG244" s="1122">
        <v>9</v>
      </c>
      <c r="BH244" s="164" t="str">
        <f t="shared" si="605"/>
        <v>N/A</v>
      </c>
      <c r="BI244" s="185"/>
      <c r="BJ244" s="1122">
        <v>9</v>
      </c>
      <c r="BK244" s="164" t="str">
        <f t="shared" si="607"/>
        <v>N/A</v>
      </c>
      <c r="BL244" s="185"/>
      <c r="BO244" s="167"/>
      <c r="BP244" s="167"/>
      <c r="BQ244" s="167" t="str">
        <f t="shared" si="554"/>
        <v/>
      </c>
      <c r="BR244" s="167">
        <f t="shared" si="608"/>
        <v>9</v>
      </c>
      <c r="BS244" s="167">
        <f t="shared" si="609"/>
        <v>9</v>
      </c>
      <c r="BT244" s="167">
        <f t="shared" si="610"/>
        <v>9</v>
      </c>
      <c r="BW244" s="193"/>
      <c r="BX244" s="193"/>
      <c r="BY244" s="193"/>
      <c r="BZ244" s="193"/>
      <c r="CA244" s="193"/>
      <c r="CB244" s="193"/>
    </row>
    <row r="245" spans="1:81" ht="15.75" thickBot="1" x14ac:dyDescent="0.3">
      <c r="A245" s="96">
        <v>237</v>
      </c>
      <c r="B245" s="96" t="s">
        <v>806</v>
      </c>
      <c r="C245" s="96" t="s">
        <v>182</v>
      </c>
      <c r="D245" s="728" t="s">
        <v>806</v>
      </c>
      <c r="E245" s="972" t="s">
        <v>680</v>
      </c>
      <c r="F245" s="771" t="s">
        <v>233</v>
      </c>
      <c r="G245" s="771" t="s">
        <v>233</v>
      </c>
      <c r="H245" s="771" t="s">
        <v>233</v>
      </c>
      <c r="I245" s="771" t="s">
        <v>233</v>
      </c>
      <c r="J245" s="771" t="s">
        <v>233</v>
      </c>
      <c r="K245" s="771" t="s">
        <v>233</v>
      </c>
      <c r="L245" s="771" t="s">
        <v>233</v>
      </c>
      <c r="M245" s="771" t="s">
        <v>233</v>
      </c>
      <c r="N245" s="771" t="s">
        <v>233</v>
      </c>
      <c r="O245" s="771" t="s">
        <v>233</v>
      </c>
      <c r="P245" s="771" t="s">
        <v>233</v>
      </c>
      <c r="Q245" s="772" t="s">
        <v>233</v>
      </c>
      <c r="R245" s="772" t="s">
        <v>233</v>
      </c>
      <c r="T245" s="221" t="str">
        <f t="shared" si="596"/>
        <v>Yes/No</v>
      </c>
      <c r="U245" s="241"/>
      <c r="V245" s="239"/>
      <c r="W245" s="167"/>
      <c r="X245" s="167"/>
      <c r="Y245" s="168"/>
      <c r="Z245" s="168"/>
      <c r="AA245" s="169"/>
      <c r="AB245" s="213" t="str">
        <f t="shared" si="597"/>
        <v>Yes/No</v>
      </c>
      <c r="AD245" s="171"/>
      <c r="AE245" s="240" t="s">
        <v>234</v>
      </c>
      <c r="AF245" s="240" t="s">
        <v>234</v>
      </c>
      <c r="AG245" s="240" t="s">
        <v>234</v>
      </c>
      <c r="AI245" s="214">
        <f>IF(VLOOKUP(E245,'Pre-Assessment Estimator'!$E$11:$AB$228,'Pre-Assessment Estimator'!$G$2,FALSE)&gt;AB245,AB245,VLOOKUP(E245,'Pre-Assessment Estimator'!$E$11:$AB$228,'Pre-Assessment Estimator'!$G$2,FALSE))</f>
        <v>0</v>
      </c>
      <c r="AJ245" s="172">
        <f>IF(VLOOKUP(E245,'Pre-Assessment Estimator'!$E$11:$AB$228,'Pre-Assessment Estimator'!$N$2,FALSE)&gt;AB245,AB245,VLOOKUP(E245,'Pre-Assessment Estimator'!$E$11:$AB$228,'Pre-Assessment Estimator'!$N$2,FALSE))</f>
        <v>0</v>
      </c>
      <c r="AK245" s="172">
        <f>IF(VLOOKUP(E245,'Pre-Assessment Estimator'!$E$11:$AB$228,'Pre-Assessment Estimator'!$U$2,FALSE)&gt;AB245,AB245,VLOOKUP(E245,'Pre-Assessment Estimator'!$E$11:$AB$228,'Pre-Assessment Estimator'!$U$2,FALSE))</f>
        <v>0</v>
      </c>
      <c r="AM245" s="729"/>
      <c r="AN245" s="232"/>
      <c r="AO245" s="232"/>
      <c r="AP245" s="232"/>
      <c r="AQ245" s="233"/>
      <c r="AS245" s="729"/>
      <c r="AT245" s="232"/>
      <c r="AU245" s="232"/>
      <c r="AV245" s="232"/>
      <c r="AW245" s="233"/>
      <c r="AY245" s="182">
        <f t="shared" ref="AY245:AY248" si="639">IF($E$6=$H$9,AS245,AM245)</f>
        <v>0</v>
      </c>
      <c r="AZ245" s="183">
        <f t="shared" ref="AZ245:AZ248" si="640">IF($E$6=$H$9,AT245,AN245)</f>
        <v>0</v>
      </c>
      <c r="BA245" s="183">
        <f t="shared" ref="BA245:BA248" si="641">IF($E$6=$H$9,AU245,AO245)</f>
        <v>0</v>
      </c>
      <c r="BB245" s="183">
        <f t="shared" ref="BB245:BB248" si="642">IF($E$6=$H$9,AV245,AP245)</f>
        <v>0</v>
      </c>
      <c r="BC245" s="187">
        <f t="shared" si="622"/>
        <v>0</v>
      </c>
      <c r="BD245" s="1122">
        <v>9</v>
      </c>
      <c r="BE245" s="164" t="str">
        <f t="shared" si="603"/>
        <v>N/A</v>
      </c>
      <c r="BF245" s="185"/>
      <c r="BG245" s="1122">
        <v>9</v>
      </c>
      <c r="BH245" s="164" t="str">
        <f t="shared" si="605"/>
        <v>N/A</v>
      </c>
      <c r="BI245" s="185"/>
      <c r="BJ245" s="1122">
        <v>9</v>
      </c>
      <c r="BK245" s="164" t="str">
        <f t="shared" si="607"/>
        <v>N/A</v>
      </c>
      <c r="BL245" s="185"/>
      <c r="BO245" s="167"/>
      <c r="BP245" s="167"/>
      <c r="BQ245" s="167" t="str">
        <f t="shared" si="554"/>
        <v/>
      </c>
      <c r="BR245" s="167">
        <f t="shared" si="608"/>
        <v>9</v>
      </c>
      <c r="BS245" s="167">
        <f t="shared" si="609"/>
        <v>9</v>
      </c>
      <c r="BT245" s="167">
        <f t="shared" si="610"/>
        <v>9</v>
      </c>
      <c r="BW245" s="193"/>
      <c r="BX245" s="193"/>
      <c r="BY245" s="193"/>
      <c r="BZ245" s="193"/>
      <c r="CA245" s="193"/>
      <c r="CB245" s="193"/>
    </row>
    <row r="246" spans="1:81" ht="15.75" thickBot="1" x14ac:dyDescent="0.3">
      <c r="A246" s="96">
        <v>238</v>
      </c>
      <c r="B246" s="96" t="s">
        <v>761</v>
      </c>
      <c r="C246" s="96" t="s">
        <v>147</v>
      </c>
      <c r="D246" s="728" t="s">
        <v>761</v>
      </c>
      <c r="E246" s="972" t="s">
        <v>992</v>
      </c>
      <c r="F246" s="771" t="s">
        <v>233</v>
      </c>
      <c r="G246" s="771" t="s">
        <v>233</v>
      </c>
      <c r="H246" s="771" t="s">
        <v>233</v>
      </c>
      <c r="I246" s="771" t="s">
        <v>233</v>
      </c>
      <c r="J246" s="771" t="s">
        <v>233</v>
      </c>
      <c r="K246" s="771" t="s">
        <v>233</v>
      </c>
      <c r="L246" s="771" t="s">
        <v>233</v>
      </c>
      <c r="M246" s="771" t="s">
        <v>233</v>
      </c>
      <c r="N246" s="771" t="s">
        <v>233</v>
      </c>
      <c r="O246" s="771" t="s">
        <v>233</v>
      </c>
      <c r="P246" s="771" t="s">
        <v>233</v>
      </c>
      <c r="Q246" s="772" t="s">
        <v>233</v>
      </c>
      <c r="R246" s="772" t="s">
        <v>233</v>
      </c>
      <c r="T246" s="221" t="str">
        <f t="shared" si="596"/>
        <v>Yes/No</v>
      </c>
      <c r="U246" s="241"/>
      <c r="V246" s="239"/>
      <c r="W246" s="167"/>
      <c r="X246" s="167"/>
      <c r="Y246" s="168"/>
      <c r="Z246" s="168"/>
      <c r="AA246" s="169"/>
      <c r="AB246" s="213" t="str">
        <f t="shared" si="597"/>
        <v>Yes/No</v>
      </c>
      <c r="AD246" s="171"/>
      <c r="AE246" s="240" t="s">
        <v>234</v>
      </c>
      <c r="AF246" s="240" t="s">
        <v>234</v>
      </c>
      <c r="AG246" s="240" t="s">
        <v>234</v>
      </c>
      <c r="AI246" s="214">
        <f>IF(VLOOKUP(E246,'Pre-Assessment Estimator'!$E$11:$AB$228,'Pre-Assessment Estimator'!$G$2,FALSE)&gt;AB246,AB246,VLOOKUP(E246,'Pre-Assessment Estimator'!$E$11:$AB$228,'Pre-Assessment Estimator'!$G$2,FALSE))</f>
        <v>0</v>
      </c>
      <c r="AJ246" s="172">
        <f>IF(VLOOKUP(E246,'Pre-Assessment Estimator'!$E$11:$AB$228,'Pre-Assessment Estimator'!$N$2,FALSE)&gt;AB246,AB246,VLOOKUP(E246,'Pre-Assessment Estimator'!$E$11:$AB$228,'Pre-Assessment Estimator'!$N$2,FALSE))</f>
        <v>0</v>
      </c>
      <c r="AK246" s="172">
        <f>IF(VLOOKUP(E246,'Pre-Assessment Estimator'!$E$11:$AB$228,'Pre-Assessment Estimator'!$U$2,FALSE)&gt;AB246,AB246,VLOOKUP(E246,'Pre-Assessment Estimator'!$E$11:$AB$228,'Pre-Assessment Estimator'!$U$2,FALSE))</f>
        <v>0</v>
      </c>
      <c r="AM246" s="729"/>
      <c r="AN246" s="232"/>
      <c r="AO246" s="232"/>
      <c r="AP246" s="232"/>
      <c r="AQ246" s="233"/>
      <c r="AS246" s="729"/>
      <c r="AT246" s="232"/>
      <c r="AU246" s="232"/>
      <c r="AV246" s="232"/>
      <c r="AW246" s="233"/>
      <c r="AY246" s="182">
        <f t="shared" ref="AY246" si="643">IF($E$6=$H$9,AS246,AM246)</f>
        <v>0</v>
      </c>
      <c r="AZ246" s="183">
        <f t="shared" ref="AZ246" si="644">IF($E$6=$H$9,AT246,AN246)</f>
        <v>0</v>
      </c>
      <c r="BA246" s="183">
        <f t="shared" ref="BA246" si="645">IF($E$6=$H$9,AU246,AO246)</f>
        <v>0</v>
      </c>
      <c r="BB246" s="183">
        <f t="shared" ref="BB246" si="646">IF($E$6=$H$9,AV246,AP246)</f>
        <v>0</v>
      </c>
      <c r="BC246" s="187">
        <f t="shared" ref="BC246" si="647">IF($E$6=$H$9,AW246,AQ246)</f>
        <v>0</v>
      </c>
      <c r="BD246" s="1122">
        <v>9</v>
      </c>
      <c r="BE246" s="164" t="str">
        <f t="shared" si="603"/>
        <v>N/A</v>
      </c>
      <c r="BF246" s="185"/>
      <c r="BG246" s="1122">
        <v>9</v>
      </c>
      <c r="BH246" s="164" t="str">
        <f t="shared" si="605"/>
        <v>N/A</v>
      </c>
      <c r="BI246" s="185"/>
      <c r="BJ246" s="1122">
        <v>9</v>
      </c>
      <c r="BK246" s="164" t="str">
        <f t="shared" si="607"/>
        <v>N/A</v>
      </c>
      <c r="BL246" s="185"/>
      <c r="BO246" s="167"/>
      <c r="BP246" s="167"/>
      <c r="BQ246" s="167" t="str">
        <f t="shared" si="554"/>
        <v/>
      </c>
      <c r="BR246" s="167">
        <f t="shared" si="608"/>
        <v>9</v>
      </c>
      <c r="BS246" s="167">
        <f t="shared" si="609"/>
        <v>9</v>
      </c>
      <c r="BT246" s="167">
        <f t="shared" si="610"/>
        <v>9</v>
      </c>
      <c r="BW246" s="193"/>
      <c r="BX246" s="193"/>
      <c r="BY246" s="193"/>
      <c r="BZ246" s="193"/>
      <c r="CA246" s="193"/>
      <c r="CB246" s="193"/>
    </row>
    <row r="247" spans="1:81" ht="15.75" thickBot="1" x14ac:dyDescent="0.3">
      <c r="A247" s="96">
        <v>239</v>
      </c>
      <c r="B247" s="96" t="s">
        <v>810</v>
      </c>
      <c r="C247" s="96" t="s">
        <v>480</v>
      </c>
      <c r="D247" s="731" t="s">
        <v>810</v>
      </c>
      <c r="E247" s="972" t="s">
        <v>990</v>
      </c>
      <c r="F247" s="771" t="s">
        <v>233</v>
      </c>
      <c r="G247" s="771" t="s">
        <v>233</v>
      </c>
      <c r="H247" s="771" t="s">
        <v>233</v>
      </c>
      <c r="I247" s="771" t="s">
        <v>233</v>
      </c>
      <c r="J247" s="771" t="s">
        <v>233</v>
      </c>
      <c r="K247" s="771" t="s">
        <v>233</v>
      </c>
      <c r="L247" s="771" t="s">
        <v>233</v>
      </c>
      <c r="M247" s="771" t="s">
        <v>233</v>
      </c>
      <c r="N247" s="771" t="s">
        <v>233</v>
      </c>
      <c r="O247" s="771" t="s">
        <v>233</v>
      </c>
      <c r="P247" s="771" t="s">
        <v>233</v>
      </c>
      <c r="Q247" s="772" t="s">
        <v>233</v>
      </c>
      <c r="R247" s="772" t="s">
        <v>233</v>
      </c>
      <c r="T247" s="221" t="str">
        <f t="shared" si="596"/>
        <v>Yes/No</v>
      </c>
      <c r="U247" s="241"/>
      <c r="V247" s="239"/>
      <c r="W247" s="167"/>
      <c r="X247" s="167"/>
      <c r="Y247" s="168"/>
      <c r="Z247" s="168"/>
      <c r="AA247" s="169"/>
      <c r="AB247" s="213" t="str">
        <f t="shared" si="597"/>
        <v>Yes/No</v>
      </c>
      <c r="AD247" s="171"/>
      <c r="AE247" s="240" t="s">
        <v>234</v>
      </c>
      <c r="AF247" s="240" t="s">
        <v>234</v>
      </c>
      <c r="AG247" s="240" t="s">
        <v>234</v>
      </c>
      <c r="AI247" s="214">
        <f>IF(VLOOKUP(E247,'Pre-Assessment Estimator'!$E$11:$AB$228,'Pre-Assessment Estimator'!$G$2,FALSE)&gt;AB247,AB247,VLOOKUP(E247,'Pre-Assessment Estimator'!$E$11:$AB$228,'Pre-Assessment Estimator'!$G$2,FALSE))</f>
        <v>0</v>
      </c>
      <c r="AJ247" s="172">
        <f>IF(VLOOKUP(E247,'Pre-Assessment Estimator'!$E$11:$AB$228,'Pre-Assessment Estimator'!$N$2,FALSE)&gt;AB247,AB247,VLOOKUP(E247,'Pre-Assessment Estimator'!$E$11:$AB$228,'Pre-Assessment Estimator'!$N$2,FALSE))</f>
        <v>0</v>
      </c>
      <c r="AK247" s="172">
        <f>IF(VLOOKUP(E247,'Pre-Assessment Estimator'!$E$11:$AB$228,'Pre-Assessment Estimator'!$U$2,FALSE)&gt;AB247,AB247,VLOOKUP(E247,'Pre-Assessment Estimator'!$E$11:$AB$228,'Pre-Assessment Estimator'!$U$2,FALSE))</f>
        <v>0</v>
      </c>
      <c r="AM247" s="729"/>
      <c r="AN247" s="232"/>
      <c r="AO247" s="232"/>
      <c r="AP247" s="232"/>
      <c r="AQ247" s="233"/>
      <c r="AS247" s="729"/>
      <c r="AT247" s="232"/>
      <c r="AU247" s="232"/>
      <c r="AV247" s="232"/>
      <c r="AW247" s="233"/>
      <c r="AY247" s="182">
        <f t="shared" si="639"/>
        <v>0</v>
      </c>
      <c r="AZ247" s="183">
        <f t="shared" si="640"/>
        <v>0</v>
      </c>
      <c r="BA247" s="183">
        <f t="shared" si="641"/>
        <v>0</v>
      </c>
      <c r="BB247" s="183">
        <f t="shared" si="642"/>
        <v>0</v>
      </c>
      <c r="BC247" s="187">
        <f t="shared" si="622"/>
        <v>0</v>
      </c>
      <c r="BD247" s="1122">
        <v>9</v>
      </c>
      <c r="BE247" s="164" t="str">
        <f t="shared" si="603"/>
        <v>N/A</v>
      </c>
      <c r="BF247" s="185"/>
      <c r="BG247" s="1122">
        <v>9</v>
      </c>
      <c r="BH247" s="164" t="str">
        <f t="shared" si="605"/>
        <v>N/A</v>
      </c>
      <c r="BI247" s="185"/>
      <c r="BJ247" s="1122">
        <v>9</v>
      </c>
      <c r="BK247" s="164" t="str">
        <f t="shared" si="607"/>
        <v>N/A</v>
      </c>
      <c r="BL247" s="185"/>
      <c r="BO247" s="167"/>
      <c r="BP247" s="167"/>
      <c r="BQ247" s="167" t="str">
        <f t="shared" si="554"/>
        <v/>
      </c>
      <c r="BR247" s="167">
        <f t="shared" si="608"/>
        <v>9</v>
      </c>
      <c r="BS247" s="167">
        <f t="shared" si="609"/>
        <v>9</v>
      </c>
      <c r="BT247" s="167">
        <f t="shared" si="610"/>
        <v>9</v>
      </c>
      <c r="BW247" s="193"/>
      <c r="BX247" s="193"/>
      <c r="BY247" s="193"/>
      <c r="BZ247" s="193"/>
      <c r="CA247" s="193"/>
      <c r="CB247" s="193"/>
    </row>
    <row r="248" spans="1:81" ht="15.75" thickBot="1" x14ac:dyDescent="0.3">
      <c r="A248" s="96">
        <v>240</v>
      </c>
      <c r="B248" s="96" t="s">
        <v>812</v>
      </c>
      <c r="C248" s="96" t="s">
        <v>481</v>
      </c>
      <c r="D248" s="731" t="s">
        <v>812</v>
      </c>
      <c r="E248" s="972" t="s">
        <v>991</v>
      </c>
      <c r="F248" s="771" t="s">
        <v>233</v>
      </c>
      <c r="G248" s="771" t="s">
        <v>233</v>
      </c>
      <c r="H248" s="771" t="s">
        <v>233</v>
      </c>
      <c r="I248" s="771" t="s">
        <v>233</v>
      </c>
      <c r="J248" s="771" t="s">
        <v>233</v>
      </c>
      <c r="K248" s="771" t="s">
        <v>233</v>
      </c>
      <c r="L248" s="771" t="s">
        <v>233</v>
      </c>
      <c r="M248" s="771" t="s">
        <v>233</v>
      </c>
      <c r="N248" s="771" t="s">
        <v>233</v>
      </c>
      <c r="O248" s="771" t="s">
        <v>233</v>
      </c>
      <c r="P248" s="771" t="s">
        <v>233</v>
      </c>
      <c r="Q248" s="772" t="s">
        <v>233</v>
      </c>
      <c r="R248" s="772" t="s">
        <v>233</v>
      </c>
      <c r="T248" s="221" t="str">
        <f t="shared" si="596"/>
        <v>Yes/No</v>
      </c>
      <c r="U248" s="241"/>
      <c r="V248" s="239"/>
      <c r="W248" s="167"/>
      <c r="X248" s="167"/>
      <c r="Y248" s="168"/>
      <c r="Z248" s="168"/>
      <c r="AA248" s="169"/>
      <c r="AB248" s="213" t="str">
        <f t="shared" si="597"/>
        <v>Yes/No</v>
      </c>
      <c r="AD248" s="171"/>
      <c r="AE248" s="240" t="s">
        <v>234</v>
      </c>
      <c r="AF248" s="240" t="s">
        <v>234</v>
      </c>
      <c r="AG248" s="240" t="s">
        <v>234</v>
      </c>
      <c r="AI248" s="214">
        <f>IF(VLOOKUP(E248,'Pre-Assessment Estimator'!$E$11:$AB$228,'Pre-Assessment Estimator'!$G$2,FALSE)&gt;AB248,AB248,VLOOKUP(E248,'Pre-Assessment Estimator'!$E$11:$AB$228,'Pre-Assessment Estimator'!$G$2,FALSE))</f>
        <v>0</v>
      </c>
      <c r="AJ248" s="172">
        <f>IF(VLOOKUP(E248,'Pre-Assessment Estimator'!$E$11:$AB$228,'Pre-Assessment Estimator'!$N$2,FALSE)&gt;AB248,AB248,VLOOKUP(E248,'Pre-Assessment Estimator'!$E$11:$AB$228,'Pre-Assessment Estimator'!$N$2,FALSE))</f>
        <v>0</v>
      </c>
      <c r="AK248" s="172">
        <f>IF(VLOOKUP(E248,'Pre-Assessment Estimator'!$E$11:$AB$228,'Pre-Assessment Estimator'!$U$2,FALSE)&gt;AB248,AB248,VLOOKUP(E248,'Pre-Assessment Estimator'!$E$11:$AB$228,'Pre-Assessment Estimator'!$U$2,FALSE))</f>
        <v>0</v>
      </c>
      <c r="AM248" s="729"/>
      <c r="AN248" s="232"/>
      <c r="AO248" s="232"/>
      <c r="AP248" s="232"/>
      <c r="AQ248" s="233"/>
      <c r="AS248" s="729"/>
      <c r="AT248" s="232"/>
      <c r="AU248" s="232"/>
      <c r="AV248" s="232"/>
      <c r="AW248" s="233"/>
      <c r="AY248" s="182">
        <f t="shared" si="639"/>
        <v>0</v>
      </c>
      <c r="AZ248" s="183">
        <f t="shared" si="640"/>
        <v>0</v>
      </c>
      <c r="BA248" s="183">
        <f t="shared" si="641"/>
        <v>0</v>
      </c>
      <c r="BB248" s="183">
        <f t="shared" si="642"/>
        <v>0</v>
      </c>
      <c r="BC248" s="187">
        <f t="shared" si="622"/>
        <v>0</v>
      </c>
      <c r="BD248" s="1122">
        <v>9</v>
      </c>
      <c r="BE248" s="164" t="str">
        <f t="shared" si="603"/>
        <v>N/A</v>
      </c>
      <c r="BF248" s="185"/>
      <c r="BG248" s="1122">
        <v>9</v>
      </c>
      <c r="BH248" s="164" t="str">
        <f t="shared" si="605"/>
        <v>N/A</v>
      </c>
      <c r="BI248" s="185"/>
      <c r="BJ248" s="1122">
        <v>9</v>
      </c>
      <c r="BK248" s="164" t="str">
        <f t="shared" si="607"/>
        <v>N/A</v>
      </c>
      <c r="BL248" s="185"/>
      <c r="BO248" s="167"/>
      <c r="BP248" s="167"/>
      <c r="BQ248" s="167" t="str">
        <f t="shared" si="554"/>
        <v/>
      </c>
      <c r="BR248" s="167">
        <f t="shared" si="608"/>
        <v>9</v>
      </c>
      <c r="BS248" s="167">
        <f t="shared" si="609"/>
        <v>9</v>
      </c>
      <c r="BT248" s="167">
        <f t="shared" si="610"/>
        <v>9</v>
      </c>
      <c r="BW248" s="193"/>
      <c r="BX248" s="193"/>
      <c r="BY248" s="193"/>
      <c r="BZ248" s="193"/>
      <c r="CA248" s="193"/>
      <c r="CB248" s="193"/>
    </row>
    <row r="249" spans="1:81" ht="15.75" thickBot="1" x14ac:dyDescent="0.3">
      <c r="A249" s="96">
        <v>241</v>
      </c>
      <c r="B249" s="96" t="s">
        <v>895</v>
      </c>
      <c r="C249" s="96" t="s">
        <v>380</v>
      </c>
      <c r="D249" s="731" t="s">
        <v>895</v>
      </c>
      <c r="E249" s="1156" t="s">
        <v>993</v>
      </c>
      <c r="F249" s="771" t="s">
        <v>233</v>
      </c>
      <c r="G249" s="771" t="s">
        <v>233</v>
      </c>
      <c r="H249" s="771" t="s">
        <v>233</v>
      </c>
      <c r="I249" s="771" t="s">
        <v>233</v>
      </c>
      <c r="J249" s="771" t="s">
        <v>233</v>
      </c>
      <c r="K249" s="771" t="s">
        <v>233</v>
      </c>
      <c r="L249" s="771" t="s">
        <v>233</v>
      </c>
      <c r="M249" s="771" t="s">
        <v>233</v>
      </c>
      <c r="N249" s="771" t="s">
        <v>233</v>
      </c>
      <c r="O249" s="771" t="s">
        <v>233</v>
      </c>
      <c r="P249" s="771" t="s">
        <v>233</v>
      </c>
      <c r="Q249" s="772" t="s">
        <v>233</v>
      </c>
      <c r="R249" s="772" t="s">
        <v>233</v>
      </c>
      <c r="T249" s="221" t="str">
        <f t="shared" si="596"/>
        <v>Yes/No</v>
      </c>
      <c r="U249" s="241"/>
      <c r="V249" s="239"/>
      <c r="W249" s="167"/>
      <c r="X249" s="167"/>
      <c r="Y249" s="168"/>
      <c r="Z249" s="168"/>
      <c r="AA249" s="169"/>
      <c r="AB249" s="1023">
        <f>IF('Assessment Details'!F24=AD_Yes,Poeng!T249,0)</f>
        <v>0</v>
      </c>
      <c r="AD249" s="171"/>
      <c r="AE249" s="240" t="s">
        <v>234</v>
      </c>
      <c r="AF249" s="240" t="s">
        <v>234</v>
      </c>
      <c r="AG249" s="240" t="s">
        <v>234</v>
      </c>
      <c r="AI249" s="214">
        <f>IF(VLOOKUP(E249,'Pre-Assessment Estimator'!$E$11:$AB$228,'Pre-Assessment Estimator'!$G$2,FALSE)&gt;AB249,AB249,VLOOKUP(E249,'Pre-Assessment Estimator'!$E$11:$AB$228,'Pre-Assessment Estimator'!$G$2,FALSE))</f>
        <v>0</v>
      </c>
      <c r="AJ249" s="172">
        <f>IF(VLOOKUP(E249,'Pre-Assessment Estimator'!$E$11:$AB$228,'Pre-Assessment Estimator'!$N$2,FALSE)&gt;AB249,AB249,VLOOKUP(E249,'Pre-Assessment Estimator'!$E$11:$AB$228,'Pre-Assessment Estimator'!$N$2,FALSE))</f>
        <v>0</v>
      </c>
      <c r="AK249" s="172">
        <f>IF(VLOOKUP(E249,'Pre-Assessment Estimator'!$E$11:$AB$228,'Pre-Assessment Estimator'!$U$2,FALSE)&gt;AB249,AB249,VLOOKUP(E249,'Pre-Assessment Estimator'!$E$11:$AB$228,'Pre-Assessment Estimator'!$U$2,FALSE))</f>
        <v>0</v>
      </c>
      <c r="AM249" s="729"/>
      <c r="AN249" s="232"/>
      <c r="AO249" s="232"/>
      <c r="AP249" s="232"/>
      <c r="AQ249" s="233"/>
      <c r="AS249" s="729"/>
      <c r="AT249" s="232"/>
      <c r="AU249" s="232"/>
      <c r="AV249" s="232"/>
      <c r="AW249" s="233"/>
      <c r="AY249" s="182">
        <f t="shared" ref="AY249:AY252" si="648">IF($E$6=$H$9,AS249,AM249)</f>
        <v>0</v>
      </c>
      <c r="AZ249" s="183">
        <f t="shared" ref="AZ249:AZ252" si="649">IF($E$6=$H$9,AT249,AN249)</f>
        <v>0</v>
      </c>
      <c r="BA249" s="183">
        <f t="shared" ref="BA249:BA252" si="650">IF($E$6=$H$9,AU249,AO249)</f>
        <v>0</v>
      </c>
      <c r="BB249" s="183">
        <f t="shared" ref="BB249:BB252" si="651">IF($E$6=$H$9,AV249,AP249)</f>
        <v>0</v>
      </c>
      <c r="BC249" s="187">
        <f t="shared" ref="BC249:BC252" si="652">IF($E$6=$H$9,AW249,AQ249)</f>
        <v>0</v>
      </c>
      <c r="BD249" s="1122">
        <v>9</v>
      </c>
      <c r="BE249" s="164" t="str">
        <f t="shared" si="603"/>
        <v>N/A</v>
      </c>
      <c r="BF249" s="185"/>
      <c r="BG249" s="1122">
        <v>9</v>
      </c>
      <c r="BH249" s="164" t="str">
        <f t="shared" si="605"/>
        <v>N/A</v>
      </c>
      <c r="BI249" s="185"/>
      <c r="BJ249" s="1122">
        <v>9</v>
      </c>
      <c r="BK249" s="164" t="str">
        <f t="shared" si="607"/>
        <v>N/A</v>
      </c>
      <c r="BL249" s="1013"/>
      <c r="BO249" s="167"/>
      <c r="BP249" s="167"/>
      <c r="BQ249" s="167" t="str">
        <f t="shared" si="554"/>
        <v/>
      </c>
      <c r="BR249" s="167">
        <f t="shared" si="608"/>
        <v>9</v>
      </c>
      <c r="BS249" s="167">
        <f t="shared" si="609"/>
        <v>9</v>
      </c>
      <c r="BT249" s="167">
        <f t="shared" si="610"/>
        <v>9</v>
      </c>
      <c r="BW249" s="193"/>
      <c r="BX249" s="193"/>
      <c r="BY249" s="193"/>
      <c r="BZ249" s="193"/>
      <c r="CA249" s="193"/>
      <c r="CB249" s="193"/>
    </row>
    <row r="250" spans="1:81" ht="30.75" thickBot="1" x14ac:dyDescent="0.3">
      <c r="A250" s="96">
        <v>242</v>
      </c>
      <c r="B250" s="96" t="s">
        <v>1035</v>
      </c>
      <c r="C250" s="96" t="s">
        <v>175</v>
      </c>
      <c r="D250" s="731" t="s">
        <v>1035</v>
      </c>
      <c r="E250" s="1156" t="s">
        <v>1155</v>
      </c>
      <c r="F250" s="771" t="s">
        <v>233</v>
      </c>
      <c r="G250" s="771" t="s">
        <v>233</v>
      </c>
      <c r="H250" s="771" t="s">
        <v>233</v>
      </c>
      <c r="I250" s="771" t="s">
        <v>233</v>
      </c>
      <c r="J250" s="771" t="s">
        <v>233</v>
      </c>
      <c r="K250" s="771" t="s">
        <v>233</v>
      </c>
      <c r="L250" s="771" t="s">
        <v>233</v>
      </c>
      <c r="M250" s="771" t="s">
        <v>233</v>
      </c>
      <c r="N250" s="771" t="s">
        <v>233</v>
      </c>
      <c r="O250" s="771" t="s">
        <v>233</v>
      </c>
      <c r="P250" s="771" t="s">
        <v>233</v>
      </c>
      <c r="Q250" s="772" t="s">
        <v>233</v>
      </c>
      <c r="R250" s="772" t="s">
        <v>233</v>
      </c>
      <c r="T250" s="221" t="str">
        <f t="shared" si="596"/>
        <v>Yes/No</v>
      </c>
      <c r="U250" s="241"/>
      <c r="V250" s="239"/>
      <c r="W250" s="167"/>
      <c r="X250" s="167"/>
      <c r="Y250" s="168"/>
      <c r="Z250" s="168"/>
      <c r="AA250" s="169"/>
      <c r="AB250" s="1023" t="str">
        <f>IF(AB145=0,0,T250)</f>
        <v>Yes/No</v>
      </c>
      <c r="AD250" s="171"/>
      <c r="AE250" s="240" t="s">
        <v>234</v>
      </c>
      <c r="AF250" s="240" t="s">
        <v>234</v>
      </c>
      <c r="AG250" s="240" t="s">
        <v>234</v>
      </c>
      <c r="AI250" s="214">
        <f>IF(VLOOKUP(E250,'Pre-Assessment Estimator'!$E$11:$AB$228,'Pre-Assessment Estimator'!$G$2,FALSE)&gt;AB250,AB250,VLOOKUP(E250,'Pre-Assessment Estimator'!$E$11:$AB$228,'Pre-Assessment Estimator'!$G$2,FALSE))</f>
        <v>0</v>
      </c>
      <c r="AJ250" s="172">
        <f>IF(VLOOKUP(E250,'Pre-Assessment Estimator'!$E$11:$AB$228,'Pre-Assessment Estimator'!$N$2,FALSE)&gt;AB250,AB250,VLOOKUP(E250,'Pre-Assessment Estimator'!$E$11:$AB$228,'Pre-Assessment Estimator'!$N$2,FALSE))</f>
        <v>0</v>
      </c>
      <c r="AK250" s="172">
        <f>IF(VLOOKUP(E250,'Pre-Assessment Estimator'!$E$11:$AB$228,'Pre-Assessment Estimator'!$U$2,FALSE)&gt;AB250,AB250,VLOOKUP(E250,'Pre-Assessment Estimator'!$E$11:$AB$228,'Pre-Assessment Estimator'!$U$2,FALSE))</f>
        <v>0</v>
      </c>
      <c r="AM250" s="729" t="s">
        <v>12</v>
      </c>
      <c r="AN250" s="232" t="s">
        <v>12</v>
      </c>
      <c r="AO250" s="232" t="s">
        <v>12</v>
      </c>
      <c r="AP250" s="232" t="s">
        <v>12</v>
      </c>
      <c r="AQ250" s="233" t="s">
        <v>12</v>
      </c>
      <c r="AS250" s="729" t="s">
        <v>12</v>
      </c>
      <c r="AT250" s="232" t="s">
        <v>12</v>
      </c>
      <c r="AU250" s="232" t="s">
        <v>12</v>
      </c>
      <c r="AV250" s="232" t="s">
        <v>12</v>
      </c>
      <c r="AW250" s="233" t="s">
        <v>12</v>
      </c>
      <c r="AY250" s="182" t="str">
        <f t="shared" ref="AY250" si="653">IF($E$6=$H$9,AS250,AM250)</f>
        <v>Yes</v>
      </c>
      <c r="AZ250" s="183" t="str">
        <f t="shared" ref="AZ250" si="654">IF($E$6=$H$9,AT250,AN250)</f>
        <v>Yes</v>
      </c>
      <c r="BA250" s="183" t="str">
        <f t="shared" ref="BA250" si="655">IF($E$6=$H$9,AU250,AO250)</f>
        <v>Yes</v>
      </c>
      <c r="BB250" s="183" t="str">
        <f t="shared" ref="BB250" si="656">IF($E$6=$H$9,AV250,AP250)</f>
        <v>Yes</v>
      </c>
      <c r="BC250" s="187" t="str">
        <f t="shared" ref="BC250" si="657">IF($E$6=$H$9,AW250,AQ250)</f>
        <v>Yes</v>
      </c>
      <c r="BD250" s="1005">
        <f>BD145</f>
        <v>0</v>
      </c>
      <c r="BE250" s="164" t="str">
        <f t="shared" si="603"/>
        <v>Unclassified</v>
      </c>
      <c r="BF250" s="185"/>
      <c r="BG250" s="1005">
        <f>BG145</f>
        <v>0</v>
      </c>
      <c r="BH250" s="164" t="str">
        <f t="shared" si="605"/>
        <v>Unclassified</v>
      </c>
      <c r="BI250" s="185"/>
      <c r="BJ250" s="1005">
        <f>BJ145</f>
        <v>0</v>
      </c>
      <c r="BK250" s="164" t="str">
        <f t="shared" si="607"/>
        <v>Unclassified</v>
      </c>
      <c r="BL250" s="1013"/>
      <c r="BO250" s="167"/>
      <c r="BP250" s="189" t="s">
        <v>12</v>
      </c>
      <c r="BQ250" s="167" t="str">
        <f t="shared" si="554"/>
        <v>Yes</v>
      </c>
      <c r="BR250" s="1181">
        <f>IF(AB145=0,9,IF(BQ250="",9,(IF(AI250=AD_Yes,5,0))))</f>
        <v>0</v>
      </c>
      <c r="BS250" s="1181">
        <f>IF(AB145=0,9,IF(BQ250="",9,(IF(AJ250=AD_Yes,5,0))))</f>
        <v>0</v>
      </c>
      <c r="BT250" s="1181">
        <f>IF(AB145=0,9,IF(BQ250="",9,(IF(AK250=AD_Yes,5,0))))</f>
        <v>0</v>
      </c>
      <c r="BW250" s="193"/>
      <c r="BX250" s="193"/>
      <c r="BY250" s="193"/>
      <c r="BZ250" s="193"/>
      <c r="CA250" s="193"/>
      <c r="CB250" s="193"/>
    </row>
    <row r="251" spans="1:81" ht="15.75" thickBot="1" x14ac:dyDescent="0.3">
      <c r="A251" s="96">
        <v>243</v>
      </c>
      <c r="B251" s="96" t="s">
        <v>986</v>
      </c>
      <c r="C251" s="96" t="s">
        <v>176</v>
      </c>
      <c r="D251" s="731" t="s">
        <v>986</v>
      </c>
      <c r="E251" s="1252" t="s">
        <v>1125</v>
      </c>
      <c r="F251" s="771" t="s">
        <v>233</v>
      </c>
      <c r="G251" s="771" t="s">
        <v>233</v>
      </c>
      <c r="H251" s="771" t="s">
        <v>233</v>
      </c>
      <c r="I251" s="771" t="s">
        <v>233</v>
      </c>
      <c r="J251" s="771" t="s">
        <v>233</v>
      </c>
      <c r="K251" s="771" t="s">
        <v>233</v>
      </c>
      <c r="L251" s="771" t="s">
        <v>233</v>
      </c>
      <c r="M251" s="771" t="s">
        <v>233</v>
      </c>
      <c r="N251" s="771" t="s">
        <v>233</v>
      </c>
      <c r="O251" s="771" t="s">
        <v>233</v>
      </c>
      <c r="P251" s="771" t="s">
        <v>233</v>
      </c>
      <c r="Q251" s="772" t="s">
        <v>233</v>
      </c>
      <c r="R251" s="772" t="s">
        <v>233</v>
      </c>
      <c r="T251" s="221" t="str">
        <f t="shared" si="596"/>
        <v>Yes/No</v>
      </c>
      <c r="U251" s="241"/>
      <c r="V251" s="239"/>
      <c r="W251" s="167"/>
      <c r="X251" s="167"/>
      <c r="Y251" s="168"/>
      <c r="Z251" s="168"/>
      <c r="AA251" s="169"/>
      <c r="AB251" s="213" t="str">
        <f>T251</f>
        <v>Yes/No</v>
      </c>
      <c r="AD251" s="171"/>
      <c r="AE251" s="240" t="s">
        <v>234</v>
      </c>
      <c r="AF251" s="240" t="s">
        <v>234</v>
      </c>
      <c r="AG251" s="240" t="s">
        <v>234</v>
      </c>
      <c r="AI251" s="214">
        <f>IF(VLOOKUP(E251,'Pre-Assessment Estimator'!$E$11:$AB$228,'Pre-Assessment Estimator'!$G$2,FALSE)&gt;AB251,AB251,VLOOKUP(E251,'Pre-Assessment Estimator'!$E$11:$AB$228,'Pre-Assessment Estimator'!$G$2,FALSE))</f>
        <v>0</v>
      </c>
      <c r="AJ251" s="172">
        <f>IF(VLOOKUP(E251,'Pre-Assessment Estimator'!$E$11:$AB$228,'Pre-Assessment Estimator'!$N$2,FALSE)&gt;AB251,AB251,VLOOKUP(E251,'Pre-Assessment Estimator'!$E$11:$AB$228,'Pre-Assessment Estimator'!$N$2,FALSE))</f>
        <v>0</v>
      </c>
      <c r="AK251" s="172">
        <f>IF(VLOOKUP(E251,'Pre-Assessment Estimator'!$E$11:$AB$228,'Pre-Assessment Estimator'!$U$2,FALSE)&gt;AB251,AB251,VLOOKUP(E251,'Pre-Assessment Estimator'!$E$11:$AB$228,'Pre-Assessment Estimator'!$U$2,FALSE))</f>
        <v>0</v>
      </c>
      <c r="AM251" s="729" t="s">
        <v>12</v>
      </c>
      <c r="AN251" s="232" t="s">
        <v>12</v>
      </c>
      <c r="AO251" s="232" t="s">
        <v>12</v>
      </c>
      <c r="AP251" s="232"/>
      <c r="AQ251" s="233"/>
      <c r="AS251" s="729" t="s">
        <v>12</v>
      </c>
      <c r="AT251" s="232" t="s">
        <v>12</v>
      </c>
      <c r="AU251" s="232" t="s">
        <v>12</v>
      </c>
      <c r="AV251" s="232"/>
      <c r="AW251" s="233"/>
      <c r="AY251" s="182" t="str">
        <f t="shared" si="648"/>
        <v>Yes</v>
      </c>
      <c r="AZ251" s="183" t="str">
        <f t="shared" si="649"/>
        <v>Yes</v>
      </c>
      <c r="BA251" s="183" t="str">
        <f t="shared" si="650"/>
        <v>Yes</v>
      </c>
      <c r="BB251" s="183">
        <f t="shared" si="651"/>
        <v>0</v>
      </c>
      <c r="BC251" s="187">
        <f t="shared" si="652"/>
        <v>0</v>
      </c>
      <c r="BD251" s="1188">
        <f>IF(AI251=AD_Yes,5,3)</f>
        <v>3</v>
      </c>
      <c r="BE251" s="164" t="str">
        <f t="shared" si="603"/>
        <v>Very Good</v>
      </c>
      <c r="BF251" s="1154">
        <f>IF(AI251="Yes",3,0)</f>
        <v>0</v>
      </c>
      <c r="BG251" s="673">
        <f>IF(AJ251=AD_Yes,5,3)</f>
        <v>3</v>
      </c>
      <c r="BH251" s="164" t="str">
        <f t="shared" si="605"/>
        <v>Very Good</v>
      </c>
      <c r="BI251" s="1154">
        <f>IF(AJ251="Yes",3,0)</f>
        <v>0</v>
      </c>
      <c r="BJ251" s="673">
        <f>IF(AK251=AD_Yes,5,3)</f>
        <v>3</v>
      </c>
      <c r="BK251" s="164" t="str">
        <f t="shared" si="607"/>
        <v>Very Good</v>
      </c>
      <c r="BL251" s="1154">
        <f>IF(AK251="Yes",3,0)</f>
        <v>0</v>
      </c>
      <c r="BO251" s="167"/>
      <c r="BP251" s="189" t="s">
        <v>12</v>
      </c>
      <c r="BQ251" s="167" t="str">
        <f t="shared" si="554"/>
        <v>Yes</v>
      </c>
      <c r="BR251" s="167">
        <f>IF(BQ251="",9,(IF(AI251=AD_Yes,5,0)))</f>
        <v>0</v>
      </c>
      <c r="BS251" s="167">
        <f t="shared" ref="BS251" si="658">IF(BQ251="",9,(IF(AJ251=AD_Yes,5,0)))</f>
        <v>0</v>
      </c>
      <c r="BT251" s="167">
        <f t="shared" ref="BT251" si="659">IF(BQ251="",9,(IF(AK251=AD_Yes,5,0)))</f>
        <v>0</v>
      </c>
      <c r="BW251" s="193"/>
      <c r="BX251" s="193"/>
      <c r="BY251" s="193"/>
      <c r="BZ251" s="193"/>
      <c r="CA251" s="193"/>
      <c r="CB251" s="193"/>
    </row>
    <row r="252" spans="1:81" ht="15.75" thickBot="1" x14ac:dyDescent="0.3">
      <c r="A252" s="96">
        <v>244</v>
      </c>
      <c r="B252" s="96" t="s">
        <v>987</v>
      </c>
      <c r="C252" s="96" t="s">
        <v>179</v>
      </c>
      <c r="D252" s="194" t="s">
        <v>987</v>
      </c>
      <c r="E252" s="1252" t="s">
        <v>1057</v>
      </c>
      <c r="F252" s="771" t="s">
        <v>233</v>
      </c>
      <c r="G252" s="771" t="s">
        <v>233</v>
      </c>
      <c r="H252" s="771" t="s">
        <v>233</v>
      </c>
      <c r="I252" s="771" t="s">
        <v>233</v>
      </c>
      <c r="J252" s="771" t="s">
        <v>233</v>
      </c>
      <c r="K252" s="771" t="s">
        <v>233</v>
      </c>
      <c r="L252" s="771" t="s">
        <v>233</v>
      </c>
      <c r="M252" s="771" t="s">
        <v>233</v>
      </c>
      <c r="N252" s="771" t="s">
        <v>233</v>
      </c>
      <c r="O252" s="771" t="s">
        <v>233</v>
      </c>
      <c r="P252" s="771" t="s">
        <v>233</v>
      </c>
      <c r="Q252" s="772" t="s">
        <v>233</v>
      </c>
      <c r="R252" s="772" t="s">
        <v>233</v>
      </c>
      <c r="T252" s="221" t="str">
        <f t="shared" si="596"/>
        <v>Yes/No</v>
      </c>
      <c r="U252" s="241"/>
      <c r="V252" s="239"/>
      <c r="W252" s="167"/>
      <c r="X252" s="167"/>
      <c r="Y252" s="168"/>
      <c r="Z252" s="168"/>
      <c r="AA252" s="169"/>
      <c r="AB252" s="213" t="str">
        <f>T252</f>
        <v>Yes/No</v>
      </c>
      <c r="AD252" s="171"/>
      <c r="AE252" s="240" t="s">
        <v>234</v>
      </c>
      <c r="AF252" s="240" t="s">
        <v>234</v>
      </c>
      <c r="AG252" s="240" t="s">
        <v>234</v>
      </c>
      <c r="AI252" s="214">
        <f>IF(VLOOKUP(E252,'Pre-Assessment Estimator'!$E$11:$AB$228,'Pre-Assessment Estimator'!$G$2,FALSE)&gt;AB252,AB252,VLOOKUP(E252,'Pre-Assessment Estimator'!$E$11:$AB$228,'Pre-Assessment Estimator'!$G$2,FALSE))</f>
        <v>0</v>
      </c>
      <c r="AJ252" s="172">
        <f>IF(VLOOKUP(E252,'Pre-Assessment Estimator'!$E$11:$AB$228,'Pre-Assessment Estimator'!$N$2,FALSE)&gt;AB252,AB252,VLOOKUP(E252,'Pre-Assessment Estimator'!$E$11:$AB$228,'Pre-Assessment Estimator'!$N$2,FALSE))</f>
        <v>0</v>
      </c>
      <c r="AK252" s="172">
        <f>IF(VLOOKUP(E252,'Pre-Assessment Estimator'!$E$11:$AB$228,'Pre-Assessment Estimator'!$U$2,FALSE)&gt;AB252,AB252,VLOOKUP(E252,'Pre-Assessment Estimator'!$E$11:$AB$228,'Pre-Assessment Estimator'!$U$2,FALSE))</f>
        <v>0</v>
      </c>
      <c r="AM252" s="309"/>
      <c r="AN252" s="310"/>
      <c r="AO252" s="310"/>
      <c r="AP252" s="310" t="s">
        <v>12</v>
      </c>
      <c r="AQ252" s="311" t="s">
        <v>12</v>
      </c>
      <c r="AS252" s="309"/>
      <c r="AT252" s="310"/>
      <c r="AU252" s="310"/>
      <c r="AV252" s="310" t="s">
        <v>12</v>
      </c>
      <c r="AW252" s="311" t="s">
        <v>12</v>
      </c>
      <c r="AY252" s="182">
        <f t="shared" si="648"/>
        <v>0</v>
      </c>
      <c r="AZ252" s="183">
        <f t="shared" si="649"/>
        <v>0</v>
      </c>
      <c r="BA252" s="183">
        <f t="shared" si="650"/>
        <v>0</v>
      </c>
      <c r="BB252" s="183" t="str">
        <f t="shared" si="651"/>
        <v>Yes</v>
      </c>
      <c r="BC252" s="187" t="str">
        <f t="shared" si="652"/>
        <v>Yes</v>
      </c>
      <c r="BD252" s="182">
        <f>IF(AI252="Yes",5,3)</f>
        <v>3</v>
      </c>
      <c r="BE252" s="164" t="str">
        <f t="shared" si="603"/>
        <v>Very Good</v>
      </c>
      <c r="BF252" s="185"/>
      <c r="BG252" s="182">
        <f>IF(AJ252="Yes",5,3)</f>
        <v>3</v>
      </c>
      <c r="BH252" s="164" t="str">
        <f t="shared" si="605"/>
        <v>Very Good</v>
      </c>
      <c r="BI252" s="185"/>
      <c r="BJ252" s="182">
        <f>IF(AK252="Yes",5,3)</f>
        <v>3</v>
      </c>
      <c r="BK252" s="164" t="str">
        <f t="shared" si="607"/>
        <v>Very Good</v>
      </c>
      <c r="BL252" s="185"/>
      <c r="BO252" s="193"/>
      <c r="BP252" s="167" t="s">
        <v>12</v>
      </c>
      <c r="BQ252" s="167" t="str">
        <f t="shared" ref="BQ252" si="660">IF(BO252&lt;&gt;"",BO252,IF(BP252&lt;&gt;"",BP252,""))</f>
        <v>Yes</v>
      </c>
      <c r="BR252" s="167">
        <f>IF(BQ252="",9,(IF(AI252=AD_Yes,5,0)))</f>
        <v>0</v>
      </c>
      <c r="BS252" s="167">
        <f>IF(BQ252="",9,(IF(AJ252=AD_Yes,5,0)))</f>
        <v>0</v>
      </c>
      <c r="BT252" s="167">
        <f>IF(BQ252="",9,(IF(AK252=AD_Yes,5,0)))</f>
        <v>0</v>
      </c>
      <c r="BW252" s="196"/>
      <c r="BX252" s="196"/>
      <c r="BY252" s="196">
        <f>IFERROR(VLOOKUP($E252,'Pre-Assessment Estimator'!$E$11:$AI$228,'Pre-Assessment Estimator'!AI$2,FALSE),"")</f>
        <v>0</v>
      </c>
      <c r="BZ252" s="196" t="str">
        <f>IFERROR(VLOOKUP($BX252,$E$294:$H$327,F$292,FALSE),"")</f>
        <v/>
      </c>
      <c r="CA252" s="196" t="str">
        <f>IFERROR(VLOOKUP($BX252,$E$294:$H$327,G$292,FALSE),"")</f>
        <v/>
      </c>
      <c r="CB252" s="196"/>
      <c r="CC252" s="96" t="str">
        <f>IFERROR(VLOOKUP($BX252,$E$294:$H$327,I$292,FALSE),"")</f>
        <v/>
      </c>
    </row>
    <row r="253" spans="1:81" ht="15.75" thickBot="1" x14ac:dyDescent="0.3">
      <c r="A253" s="96">
        <v>245</v>
      </c>
      <c r="B253" s="96" t="s">
        <v>1030</v>
      </c>
      <c r="C253" s="96" t="s">
        <v>134</v>
      </c>
      <c r="D253" s="242" t="s">
        <v>1030</v>
      </c>
      <c r="E253" s="1249" t="s">
        <v>1153</v>
      </c>
      <c r="F253" s="776" t="s">
        <v>233</v>
      </c>
      <c r="G253" s="776" t="s">
        <v>233</v>
      </c>
      <c r="H253" s="776" t="s">
        <v>233</v>
      </c>
      <c r="I253" s="776" t="s">
        <v>233</v>
      </c>
      <c r="J253" s="776" t="s">
        <v>233</v>
      </c>
      <c r="K253" s="776" t="s">
        <v>233</v>
      </c>
      <c r="L253" s="776" t="s">
        <v>233</v>
      </c>
      <c r="M253" s="776" t="s">
        <v>233</v>
      </c>
      <c r="N253" s="776" t="s">
        <v>233</v>
      </c>
      <c r="O253" s="776" t="s">
        <v>233</v>
      </c>
      <c r="P253" s="776" t="s">
        <v>233</v>
      </c>
      <c r="Q253" s="776" t="s">
        <v>233</v>
      </c>
      <c r="R253" s="777" t="s">
        <v>233</v>
      </c>
      <c r="T253" s="221" t="str">
        <f>HLOOKUP($E$6,$F$9:$R$255,$A253,FALSE)</f>
        <v>Yes/No</v>
      </c>
      <c r="U253" s="241"/>
      <c r="V253" s="239"/>
      <c r="W253" s="167"/>
      <c r="X253" s="167"/>
      <c r="Y253" s="168"/>
      <c r="Z253" s="168"/>
      <c r="AA253" s="169"/>
      <c r="AB253" s="213" t="str">
        <f>T253</f>
        <v>Yes/No</v>
      </c>
      <c r="AD253" s="171"/>
      <c r="AE253" s="240" t="s">
        <v>234</v>
      </c>
      <c r="AF253" s="240" t="s">
        <v>234</v>
      </c>
      <c r="AG253" s="240" t="s">
        <v>234</v>
      </c>
      <c r="AI253" s="214">
        <f>IF(VLOOKUP(E253,'Pre-Assessment Estimator'!$E$11:$AB$228,'Pre-Assessment Estimator'!$G$2,FALSE)&gt;AB253,AB253,VLOOKUP(E253,'Pre-Assessment Estimator'!$E$11:$AB$228,'Pre-Assessment Estimator'!$G$2,FALSE))</f>
        <v>0</v>
      </c>
      <c r="AJ253" s="172">
        <f>IF(VLOOKUP(E253,'Pre-Assessment Estimator'!$E$11:$AB$228,'Pre-Assessment Estimator'!$N$2,FALSE)&gt;AB253,AB253,VLOOKUP(E253,'Pre-Assessment Estimator'!$E$11:$AB$228,'Pre-Assessment Estimator'!$N$2,FALSE))</f>
        <v>0</v>
      </c>
      <c r="AK253" s="172">
        <f>IF(VLOOKUP(E253,'Pre-Assessment Estimator'!$E$11:$AB$228,'Pre-Assessment Estimator'!$U$2,FALSE)&gt;AB253,AB253,VLOOKUP(E253,'Pre-Assessment Estimator'!$E$11:$AB$228,'Pre-Assessment Estimator'!$U$2,FALSE))</f>
        <v>0</v>
      </c>
      <c r="AM253" s="1231"/>
      <c r="AN253" s="1231"/>
      <c r="AO253" s="1231"/>
      <c r="AP253" s="1231"/>
      <c r="AQ253" s="1231"/>
      <c r="AS253" s="1231"/>
      <c r="AT253" s="1231"/>
      <c r="AU253" s="1231"/>
      <c r="AV253" s="1231"/>
      <c r="AW253" s="1231"/>
      <c r="AY253" s="236"/>
      <c r="AZ253" s="236"/>
      <c r="BA253" s="236"/>
      <c r="BB253" s="236"/>
      <c r="BC253" s="236"/>
      <c r="BD253" s="236"/>
      <c r="BE253" s="1232" t="s">
        <v>14</v>
      </c>
      <c r="BF253" s="99"/>
      <c r="BG253" s="236"/>
      <c r="BH253" s="1232" t="s">
        <v>14</v>
      </c>
      <c r="BI253" s="1232"/>
      <c r="BJ253" s="1233"/>
      <c r="BK253" s="1232" t="s">
        <v>14</v>
      </c>
      <c r="BL253" s="99"/>
      <c r="BO253" s="99"/>
      <c r="BP253" s="167" t="s">
        <v>12</v>
      </c>
      <c r="BQ253" s="167" t="str">
        <f t="shared" ref="BQ253:BQ256" si="661">IF(BO253&lt;&gt;"",BO253,IF(BP253&lt;&gt;"",BP253,""))</f>
        <v>Yes</v>
      </c>
      <c r="BR253" s="167">
        <f>IF(BQ253="",9,(IF(AI253=AD_Yes,5,0)))</f>
        <v>0</v>
      </c>
      <c r="BS253" s="167">
        <f>IF(BQ253="",9,(IF(AJ253=AD_Yes,5,0)))</f>
        <v>0</v>
      </c>
      <c r="BT253" s="167">
        <f>IF(BQ253="",9,(IF(AK253=AD_Yes,5,0)))</f>
        <v>0</v>
      </c>
      <c r="BW253" s="242"/>
      <c r="BX253" s="242"/>
      <c r="BY253" s="242"/>
      <c r="BZ253" s="242"/>
      <c r="CA253" s="242"/>
      <c r="CB253" s="242"/>
    </row>
    <row r="254" spans="1:81" ht="15.75" thickBot="1" x14ac:dyDescent="0.3">
      <c r="A254" s="96">
        <v>246</v>
      </c>
      <c r="B254" s="242" t="s">
        <v>1031</v>
      </c>
      <c r="C254" s="96" t="s">
        <v>168</v>
      </c>
      <c r="D254" s="242" t="s">
        <v>1031</v>
      </c>
      <c r="E254" s="1250" t="s">
        <v>1154</v>
      </c>
      <c r="F254" s="769" t="s">
        <v>233</v>
      </c>
      <c r="G254" s="769" t="s">
        <v>233</v>
      </c>
      <c r="H254" s="769" t="s">
        <v>233</v>
      </c>
      <c r="I254" s="769" t="s">
        <v>233</v>
      </c>
      <c r="J254" s="769" t="s">
        <v>233</v>
      </c>
      <c r="K254" s="769" t="s">
        <v>233</v>
      </c>
      <c r="L254" s="769" t="s">
        <v>233</v>
      </c>
      <c r="M254" s="769" t="s">
        <v>233</v>
      </c>
      <c r="N254" s="769" t="s">
        <v>233</v>
      </c>
      <c r="O254" s="769" t="s">
        <v>233</v>
      </c>
      <c r="P254" s="769" t="s">
        <v>233</v>
      </c>
      <c r="Q254" s="769" t="s">
        <v>233</v>
      </c>
      <c r="R254" s="770" t="s">
        <v>233</v>
      </c>
      <c r="T254" s="221" t="str">
        <f>HLOOKUP($E$6,$F$9:$R$255,$A254,FALSE)</f>
        <v>Yes/No</v>
      </c>
      <c r="U254" s="241"/>
      <c r="V254" s="239"/>
      <c r="W254" s="167"/>
      <c r="X254" s="167"/>
      <c r="Y254" s="168"/>
      <c r="Z254" s="168"/>
      <c r="AA254" s="169"/>
      <c r="AB254" s="213" t="str">
        <f>IF(AB114=0,0,T254)</f>
        <v>Yes/No</v>
      </c>
      <c r="AD254" s="171"/>
      <c r="AE254" s="240" t="s">
        <v>234</v>
      </c>
      <c r="AF254" s="240" t="s">
        <v>234</v>
      </c>
      <c r="AG254" s="240" t="s">
        <v>234</v>
      </c>
      <c r="AI254" s="214">
        <f>IF(VLOOKUP(E254,'Pre-Assessment Estimator'!$E$11:$AB$228,'Pre-Assessment Estimator'!$G$2,FALSE)&gt;AB254,AB254,VLOOKUP(E254,'Pre-Assessment Estimator'!$E$11:$AB$228,'Pre-Assessment Estimator'!$G$2,FALSE))</f>
        <v>0</v>
      </c>
      <c r="AJ254" s="172">
        <f>IF(VLOOKUP(E254,'Pre-Assessment Estimator'!$E$11:$AB$228,'Pre-Assessment Estimator'!$N$2,FALSE)&gt;AB254,AB254,VLOOKUP(E254,'Pre-Assessment Estimator'!$E$11:$AB$228,'Pre-Assessment Estimator'!$N$2,FALSE))</f>
        <v>0</v>
      </c>
      <c r="AK254" s="172">
        <f>IF(VLOOKUP(E254,'Pre-Assessment Estimator'!$E$11:$AB$228,'Pre-Assessment Estimator'!$U$2,FALSE)&gt;AB254,AB254,VLOOKUP(E254,'Pre-Assessment Estimator'!$E$11:$AB$228,'Pre-Assessment Estimator'!$U$2,FALSE))</f>
        <v>0</v>
      </c>
      <c r="AM254" s="1231"/>
      <c r="AN254" s="1231"/>
      <c r="AO254" s="1231"/>
      <c r="AP254" s="1231"/>
      <c r="AQ254" s="1231"/>
      <c r="AS254" s="1231"/>
      <c r="AT254" s="1231"/>
      <c r="AU254" s="1231"/>
      <c r="AV254" s="1231"/>
      <c r="AW254" s="1231"/>
      <c r="AY254" s="236"/>
      <c r="AZ254" s="236"/>
      <c r="BA254" s="236"/>
      <c r="BB254" s="236"/>
      <c r="BC254" s="236"/>
      <c r="BD254" s="236"/>
      <c r="BE254" s="1232" t="s">
        <v>14</v>
      </c>
      <c r="BF254" s="99"/>
      <c r="BG254" s="236"/>
      <c r="BH254" s="1232" t="s">
        <v>14</v>
      </c>
      <c r="BI254" s="1232"/>
      <c r="BJ254" s="1233"/>
      <c r="BK254" s="1232" t="s">
        <v>14</v>
      </c>
      <c r="BL254" s="99"/>
      <c r="BO254" s="99"/>
      <c r="BP254" s="167" t="s">
        <v>12</v>
      </c>
      <c r="BQ254" s="167" t="str">
        <f t="shared" si="661"/>
        <v>Yes</v>
      </c>
      <c r="BR254" s="1181">
        <f>IF(AB254=0,9,IF(BQ254="",9,(IF(AI254=AD_Yes,5,0))))</f>
        <v>0</v>
      </c>
      <c r="BS254" s="1181">
        <f>IF(AB254=0,9,IF(BQ254="",9,(IF(AJ254=AD_Yes,5,0))))</f>
        <v>0</v>
      </c>
      <c r="BT254" s="1181">
        <f>IF(AB254=0,9,IF(BQ254="",9,(IF(AK254=AD_Yes,5,0))))</f>
        <v>0</v>
      </c>
      <c r="BW254" s="242"/>
      <c r="BX254" s="242"/>
      <c r="BY254" s="242"/>
      <c r="BZ254" s="242"/>
      <c r="CA254" s="242"/>
      <c r="CB254" s="242"/>
    </row>
    <row r="255" spans="1:81" ht="15.75" thickBot="1" x14ac:dyDescent="0.3">
      <c r="A255" s="96">
        <v>247</v>
      </c>
      <c r="B255" s="242" t="s">
        <v>1032</v>
      </c>
      <c r="C255" s="96" t="s">
        <v>176</v>
      </c>
      <c r="D255" s="242" t="s">
        <v>1032</v>
      </c>
      <c r="E255" s="1251" t="s">
        <v>1034</v>
      </c>
      <c r="F255" s="778" t="s">
        <v>233</v>
      </c>
      <c r="G255" s="778" t="s">
        <v>233</v>
      </c>
      <c r="H255" s="778" t="s">
        <v>233</v>
      </c>
      <c r="I255" s="778" t="s">
        <v>233</v>
      </c>
      <c r="J255" s="778" t="s">
        <v>233</v>
      </c>
      <c r="K255" s="778" t="s">
        <v>233</v>
      </c>
      <c r="L255" s="778" t="s">
        <v>233</v>
      </c>
      <c r="M255" s="778" t="s">
        <v>233</v>
      </c>
      <c r="N255" s="778" t="s">
        <v>233</v>
      </c>
      <c r="O255" s="778" t="s">
        <v>233</v>
      </c>
      <c r="P255" s="778" t="s">
        <v>233</v>
      </c>
      <c r="Q255" s="778" t="s">
        <v>233</v>
      </c>
      <c r="R255" s="779" t="s">
        <v>233</v>
      </c>
      <c r="T255" s="221" t="str">
        <f>HLOOKUP($E$6,$F$9:$R$255,$A255,FALSE)</f>
        <v>Yes/No</v>
      </c>
      <c r="U255" s="241"/>
      <c r="V255" s="239"/>
      <c r="W255" s="167"/>
      <c r="X255" s="167"/>
      <c r="Y255" s="168"/>
      <c r="Z255" s="168"/>
      <c r="AA255" s="169"/>
      <c r="AB255" s="213" t="str">
        <f>T255</f>
        <v>Yes/No</v>
      </c>
      <c r="AD255" s="171"/>
      <c r="AE255" s="240" t="s">
        <v>234</v>
      </c>
      <c r="AF255" s="240" t="s">
        <v>234</v>
      </c>
      <c r="AG255" s="240" t="s">
        <v>234</v>
      </c>
      <c r="AI255" s="214">
        <f>IF(VLOOKUP(E255,'Pre-Assessment Estimator'!$E$11:$AB$228,'Pre-Assessment Estimator'!$G$2,FALSE)&gt;AB255,AB255,VLOOKUP(E255,'Pre-Assessment Estimator'!$E$11:$AB$228,'Pre-Assessment Estimator'!$G$2,FALSE))</f>
        <v>0</v>
      </c>
      <c r="AJ255" s="172">
        <f>IF(VLOOKUP(E255,'Pre-Assessment Estimator'!$E$11:$AB$228,'Pre-Assessment Estimator'!$N$2,FALSE)&gt;AB255,AB255,VLOOKUP(E255,'Pre-Assessment Estimator'!$E$11:$AB$228,'Pre-Assessment Estimator'!$N$2,FALSE))</f>
        <v>0</v>
      </c>
      <c r="AK255" s="172">
        <f>IF(VLOOKUP(E255,'Pre-Assessment Estimator'!$E$11:$AB$228,'Pre-Assessment Estimator'!$U$2,FALSE)&gt;AB255,AB255,VLOOKUP(E255,'Pre-Assessment Estimator'!$E$11:$AB$228,'Pre-Assessment Estimator'!$U$2,FALSE))</f>
        <v>0</v>
      </c>
      <c r="AM255" s="1231"/>
      <c r="AN255" s="1231"/>
      <c r="AO255" s="1231"/>
      <c r="AP255" s="1231"/>
      <c r="AQ255" s="1231"/>
      <c r="AS255" s="1231"/>
      <c r="AT255" s="1231"/>
      <c r="AU255" s="1231"/>
      <c r="AV255" s="1231"/>
      <c r="AW255" s="1231"/>
      <c r="AY255" s="236"/>
      <c r="AZ255" s="236"/>
      <c r="BA255" s="236"/>
      <c r="BB255" s="236"/>
      <c r="BC255" s="236"/>
      <c r="BD255" s="236"/>
      <c r="BE255" s="1232" t="s">
        <v>14</v>
      </c>
      <c r="BF255" s="99"/>
      <c r="BG255" s="236"/>
      <c r="BH255" s="1232" t="s">
        <v>14</v>
      </c>
      <c r="BI255" s="1232"/>
      <c r="BJ255" s="1233"/>
      <c r="BK255" s="1232" t="s">
        <v>14</v>
      </c>
      <c r="BL255" s="99"/>
      <c r="BO255" s="99"/>
      <c r="BP255" s="167" t="s">
        <v>12</v>
      </c>
      <c r="BQ255" s="167" t="str">
        <f t="shared" si="661"/>
        <v>Yes</v>
      </c>
      <c r="BR255" s="167">
        <f>IF(BQ255="",9,(IF(AI255=AD_Yes,5,0)))</f>
        <v>0</v>
      </c>
      <c r="BS255" s="167">
        <f>IF(BQ255="",9,(IF(AJ255=AD_Yes,5,0)))</f>
        <v>0</v>
      </c>
      <c r="BT255" s="167">
        <f>IF(BQ255="",9,(IF(AK255=AD_Yes,5,0)))</f>
        <v>0</v>
      </c>
      <c r="BW255" s="242"/>
      <c r="BX255" s="242"/>
      <c r="BY255" s="242"/>
      <c r="BZ255" s="242"/>
      <c r="CA255" s="242"/>
      <c r="CB255" s="242"/>
    </row>
    <row r="256" spans="1:81" ht="15.75" thickBot="1" x14ac:dyDescent="0.3">
      <c r="A256" s="96">
        <v>248</v>
      </c>
      <c r="B256" s="242" t="s">
        <v>1144</v>
      </c>
      <c r="C256" s="242" t="s">
        <v>91</v>
      </c>
      <c r="D256" s="242" t="s">
        <v>1144</v>
      </c>
      <c r="E256" s="1288" t="s">
        <v>1145</v>
      </c>
      <c r="F256" s="769" t="s">
        <v>233</v>
      </c>
      <c r="G256" s="769" t="s">
        <v>233</v>
      </c>
      <c r="H256" s="769" t="s">
        <v>233</v>
      </c>
      <c r="I256" s="769" t="s">
        <v>233</v>
      </c>
      <c r="J256" s="769" t="s">
        <v>233</v>
      </c>
      <c r="K256" s="769" t="s">
        <v>233</v>
      </c>
      <c r="L256" s="769" t="s">
        <v>233</v>
      </c>
      <c r="M256" s="769" t="s">
        <v>233</v>
      </c>
      <c r="N256" s="769" t="s">
        <v>233</v>
      </c>
      <c r="O256" s="769" t="s">
        <v>233</v>
      </c>
      <c r="P256" s="769" t="s">
        <v>233</v>
      </c>
      <c r="Q256" s="769" t="s">
        <v>233</v>
      </c>
      <c r="R256" s="770" t="s">
        <v>233</v>
      </c>
      <c r="T256" s="221" t="str">
        <f>HLOOKUP($E$6,$F$9:$R$257,$A256,FALSE)</f>
        <v>Yes/No</v>
      </c>
      <c r="U256" s="241"/>
      <c r="V256" s="239"/>
      <c r="W256" s="167"/>
      <c r="X256" s="167"/>
      <c r="Y256" s="168"/>
      <c r="Z256" s="168"/>
      <c r="AA256" s="169"/>
      <c r="AB256" s="213" t="str">
        <f>T256</f>
        <v>Yes/No</v>
      </c>
      <c r="AD256" s="171"/>
      <c r="AE256" s="240" t="s">
        <v>234</v>
      </c>
      <c r="AF256" s="240" t="s">
        <v>234</v>
      </c>
      <c r="AG256" s="240" t="s">
        <v>234</v>
      </c>
      <c r="AI256" s="214">
        <f>IF(VLOOKUP(E256,'Pre-Assessment Estimator'!$E$11:$AB$228,'Pre-Assessment Estimator'!$G$2,FALSE)&gt;AB256,AB256,VLOOKUP(E256,'Pre-Assessment Estimator'!$E$11:$AB$228,'Pre-Assessment Estimator'!$G$2,FALSE))</f>
        <v>0</v>
      </c>
      <c r="AJ256" s="172">
        <f>IF(VLOOKUP(E256,'Pre-Assessment Estimator'!$E$11:$AB$228,'Pre-Assessment Estimator'!$N$2,FALSE)&gt;AB256,AB256,VLOOKUP(E256,'Pre-Assessment Estimator'!$E$11:$AB$228,'Pre-Assessment Estimator'!$N$2,FALSE))</f>
        <v>0</v>
      </c>
      <c r="AK256" s="172">
        <f>IF(VLOOKUP(E256,'Pre-Assessment Estimator'!$E$11:$AB$228,'Pre-Assessment Estimator'!$U$2,FALSE)&gt;AB256,AB256,VLOOKUP(E256,'Pre-Assessment Estimator'!$E$11:$AB$228,'Pre-Assessment Estimator'!$U$2,FALSE))</f>
        <v>0</v>
      </c>
      <c r="AM256" s="1231"/>
      <c r="AN256" s="1231"/>
      <c r="AO256" s="1231"/>
      <c r="AP256" s="1231"/>
      <c r="AQ256" s="1231"/>
      <c r="AS256" s="1231"/>
      <c r="AT256" s="1231"/>
      <c r="AU256" s="1231"/>
      <c r="AV256" s="1231"/>
      <c r="AW256" s="1231"/>
      <c r="AY256" s="236"/>
      <c r="AZ256" s="236"/>
      <c r="BA256" s="236"/>
      <c r="BB256" s="236"/>
      <c r="BC256" s="236"/>
      <c r="BD256" s="236"/>
      <c r="BE256" s="1232" t="s">
        <v>14</v>
      </c>
      <c r="BF256" s="99"/>
      <c r="BG256" s="236"/>
      <c r="BH256" s="1232" t="s">
        <v>14</v>
      </c>
      <c r="BI256" s="1232"/>
      <c r="BJ256" s="1233"/>
      <c r="BK256" s="1232" t="s">
        <v>14</v>
      </c>
      <c r="BL256" s="99"/>
      <c r="BO256" s="99"/>
      <c r="BP256" s="167" t="s">
        <v>12</v>
      </c>
      <c r="BQ256" s="167" t="str">
        <f t="shared" si="661"/>
        <v>Yes</v>
      </c>
      <c r="BR256" s="167">
        <f>IF(BQ256="",9,(IF(AI256=AD_Yes,5,0)))</f>
        <v>0</v>
      </c>
      <c r="BS256" s="167">
        <f>IF(BQ256="",9,(IF(AJ256=AD_Yes,5,0)))</f>
        <v>0</v>
      </c>
      <c r="BT256" s="167">
        <f>IF(BQ256="",9,(IF(AK256=AD_Yes,5,0)))</f>
        <v>0</v>
      </c>
      <c r="BW256" s="242"/>
      <c r="BX256" s="242"/>
      <c r="BY256" s="242"/>
      <c r="BZ256" s="242"/>
      <c r="CA256" s="242"/>
      <c r="CB256" s="242"/>
    </row>
    <row r="257" spans="1:80" ht="15.75" thickBot="1" x14ac:dyDescent="0.3">
      <c r="A257" s="96">
        <v>249</v>
      </c>
      <c r="B257" s="242" t="s">
        <v>1112</v>
      </c>
      <c r="C257" s="96" t="s">
        <v>134</v>
      </c>
      <c r="D257" s="242" t="s">
        <v>1112</v>
      </c>
      <c r="E257" s="1288" t="s">
        <v>1173</v>
      </c>
      <c r="F257" s="776" t="s">
        <v>233</v>
      </c>
      <c r="G257" s="776" t="s">
        <v>233</v>
      </c>
      <c r="H257" s="776" t="s">
        <v>233</v>
      </c>
      <c r="I257" s="776" t="s">
        <v>233</v>
      </c>
      <c r="J257" s="776" t="s">
        <v>233</v>
      </c>
      <c r="K257" s="776" t="s">
        <v>233</v>
      </c>
      <c r="L257" s="776" t="s">
        <v>233</v>
      </c>
      <c r="M257" s="776" t="s">
        <v>233</v>
      </c>
      <c r="N257" s="776" t="s">
        <v>233</v>
      </c>
      <c r="O257" s="776" t="s">
        <v>233</v>
      </c>
      <c r="P257" s="776" t="s">
        <v>233</v>
      </c>
      <c r="Q257" s="776" t="s">
        <v>233</v>
      </c>
      <c r="R257" s="777" t="s">
        <v>233</v>
      </c>
      <c r="T257" s="221" t="str">
        <f>HLOOKUP($E$6,$F$9:$R$257,$A257,FALSE)</f>
        <v>Yes/No</v>
      </c>
      <c r="U257" s="241"/>
      <c r="V257" s="239"/>
      <c r="W257" s="167"/>
      <c r="X257" s="167"/>
      <c r="Y257" s="168"/>
      <c r="Z257" s="168"/>
      <c r="AA257" s="169"/>
      <c r="AB257" s="213" t="str">
        <f>T257</f>
        <v>Yes/No</v>
      </c>
      <c r="AD257" s="171"/>
      <c r="AE257" s="240" t="s">
        <v>234</v>
      </c>
      <c r="AF257" s="240" t="s">
        <v>234</v>
      </c>
      <c r="AG257" s="240" t="s">
        <v>234</v>
      </c>
      <c r="AI257" s="214">
        <f>IF(VLOOKUP(E257,'Pre-Assessment Estimator'!$E$11:$AB$228,'Pre-Assessment Estimator'!$G$2,FALSE)&gt;AB257,AB257,VLOOKUP(E257,'Pre-Assessment Estimator'!$E$11:$AB$228,'Pre-Assessment Estimator'!$G$2,FALSE))</f>
        <v>0</v>
      </c>
      <c r="AJ257" s="172">
        <f>IF(VLOOKUP(E257,'Pre-Assessment Estimator'!$E$11:$AB$228,'Pre-Assessment Estimator'!$N$2,FALSE)&gt;AB257,AB257,VLOOKUP(E257,'Pre-Assessment Estimator'!$E$11:$AB$228,'Pre-Assessment Estimator'!$N$2,FALSE))</f>
        <v>0</v>
      </c>
      <c r="AK257" s="172">
        <f>IF(VLOOKUP(E257,'Pre-Assessment Estimator'!$E$11:$AB$228,'Pre-Assessment Estimator'!$U$2,FALSE)&gt;AB257,AB257,VLOOKUP(E257,'Pre-Assessment Estimator'!$E$11:$AB$228,'Pre-Assessment Estimator'!$U$2,FALSE))</f>
        <v>0</v>
      </c>
      <c r="AM257" s="1231"/>
      <c r="AN257" s="1231"/>
      <c r="AO257" s="1231"/>
      <c r="AP257" s="1231"/>
      <c r="AQ257" s="1231"/>
      <c r="AS257" s="1231"/>
      <c r="AT257" s="1231"/>
      <c r="AU257" s="1231"/>
      <c r="AV257" s="1231"/>
      <c r="AW257" s="1231"/>
      <c r="AY257" s="236"/>
      <c r="AZ257" s="236"/>
      <c r="BA257" s="236"/>
      <c r="BB257" s="236"/>
      <c r="BC257" s="236"/>
      <c r="BD257" s="236"/>
      <c r="BE257" s="1232" t="s">
        <v>14</v>
      </c>
      <c r="BF257" s="99"/>
      <c r="BG257" s="236"/>
      <c r="BH257" s="1232" t="s">
        <v>14</v>
      </c>
      <c r="BI257" s="1232"/>
      <c r="BJ257" s="1233"/>
      <c r="BK257" s="1232" t="s">
        <v>14</v>
      </c>
      <c r="BL257" s="99"/>
      <c r="BO257" s="99"/>
      <c r="BP257" s="167" t="s">
        <v>12</v>
      </c>
      <c r="BQ257" s="167" t="str">
        <f t="shared" ref="BQ257" si="662">IF(BO257&lt;&gt;"",BO257,IF(BP257&lt;&gt;"",BP257,""))</f>
        <v>Yes</v>
      </c>
      <c r="BR257" s="167">
        <f>IF(BQ257="",9,(IF(AI257=AD_Yes,5,0)))</f>
        <v>0</v>
      </c>
      <c r="BS257" s="167">
        <f>IF(BQ257="",9,(IF(AJ257=AD_Yes,5,0)))</f>
        <v>0</v>
      </c>
      <c r="BT257" s="167">
        <f>IF(BQ257="",9,(IF(AK257=AD_Yes,5,0)))</f>
        <v>0</v>
      </c>
      <c r="BW257" s="242"/>
      <c r="BX257" s="242"/>
      <c r="BY257" s="242"/>
      <c r="BZ257" s="242"/>
      <c r="CA257" s="242"/>
      <c r="CB257" s="242"/>
    </row>
    <row r="258" spans="1:80" ht="15.75" thickBot="1" x14ac:dyDescent="0.3">
      <c r="A258" s="96">
        <v>250</v>
      </c>
      <c r="E258" s="1155"/>
      <c r="BO258" s="1147" t="s">
        <v>985</v>
      </c>
      <c r="BP258" s="1065"/>
      <c r="BQ258" s="1065"/>
      <c r="BR258" s="1182">
        <f>MIN(BR10:BR257)</f>
        <v>0</v>
      </c>
      <c r="BS258" s="1182">
        <f>MIN(BS10:BS257)</f>
        <v>0</v>
      </c>
      <c r="BT258" s="1182">
        <f>MIN(BT10:BT257)</f>
        <v>0</v>
      </c>
    </row>
    <row r="259" spans="1:80" ht="15.75" thickBot="1" x14ac:dyDescent="0.3">
      <c r="A259" s="96">
        <v>251</v>
      </c>
      <c r="E259" s="242" t="s">
        <v>265</v>
      </c>
      <c r="F259" s="763">
        <f t="shared" ref="F259:R259" si="663">F36+F66+F97+F110+F123+F152+F166+F197+F214</f>
        <v>143</v>
      </c>
      <c r="G259" s="763">
        <f t="shared" si="663"/>
        <v>137</v>
      </c>
      <c r="H259" s="763">
        <f t="shared" si="663"/>
        <v>136</v>
      </c>
      <c r="I259" s="763">
        <f t="shared" si="663"/>
        <v>142</v>
      </c>
      <c r="J259" s="763">
        <f t="shared" si="663"/>
        <v>142</v>
      </c>
      <c r="K259" s="763">
        <f t="shared" si="663"/>
        <v>137</v>
      </c>
      <c r="L259" s="763">
        <f t="shared" si="663"/>
        <v>137</v>
      </c>
      <c r="M259" s="763">
        <f t="shared" si="663"/>
        <v>139</v>
      </c>
      <c r="N259" s="763">
        <f t="shared" si="663"/>
        <v>138</v>
      </c>
      <c r="O259" s="763">
        <f t="shared" si="663"/>
        <v>137</v>
      </c>
      <c r="P259" s="763">
        <f t="shared" si="663"/>
        <v>137</v>
      </c>
      <c r="Q259" s="763">
        <f t="shared" si="663"/>
        <v>142</v>
      </c>
      <c r="R259" s="763">
        <f t="shared" si="663"/>
        <v>142</v>
      </c>
      <c r="T259" s="96">
        <f>T36+T66+T97+T110+T123+T152+T166+T197+T214+T231</f>
        <v>153</v>
      </c>
      <c r="AA259" s="96">
        <f>Poeng_tot-Poeng_tilgj</f>
        <v>0</v>
      </c>
      <c r="AB259" s="96">
        <f>AB36+AB66+AB97+AB110+AB123+AB152+AB166+AB197+AB214+AB231</f>
        <v>153</v>
      </c>
      <c r="BE259" s="96" t="str">
        <f>VLOOKUP(BD260,$BO$285:$BW$291,9,FALSE)</f>
        <v>Unclassified &lt;30%</v>
      </c>
      <c r="BH259" s="96" t="str">
        <f>VLOOKUP(BG260,$BO$285:$BW$291,9,FALSE)</f>
        <v>Unclassified &lt;30%</v>
      </c>
      <c r="BK259" s="96" t="str">
        <f>VLOOKUP(BJ260,$BO$285:$BW$291,9,FALSE)</f>
        <v>Unclassified &lt;30%</v>
      </c>
      <c r="BR259" s="167" t="str">
        <f>IF(BR258=0,AD_no,AD_Yes)</f>
        <v>No</v>
      </c>
      <c r="BS259" s="167" t="str">
        <f>IF(BS258=0,AD_no,AD_Yes)</f>
        <v>No</v>
      </c>
      <c r="BT259" s="167" t="str">
        <f>IF(BT258=0,AD_no,AD_Yes)</f>
        <v>No</v>
      </c>
    </row>
    <row r="260" spans="1:80" x14ac:dyDescent="0.25">
      <c r="AA260" s="96">
        <f>AA36+AA66+AA97+AA110+AA123+AA152+AA166+AA197+AA214+AA231</f>
        <v>0</v>
      </c>
      <c r="AI260" s="96" t="str">
        <f>AD_Yes</f>
        <v>Yes</v>
      </c>
      <c r="AX260" s="1352" t="s">
        <v>238</v>
      </c>
      <c r="AY260" s="1353"/>
      <c r="AZ260" s="1353"/>
      <c r="BA260" s="1353"/>
      <c r="BB260" s="1353"/>
      <c r="BC260" s="1354"/>
      <c r="BD260" s="243">
        <f>MIN(BD10:BD252)</f>
        <v>0</v>
      </c>
      <c r="BE260" s="84" t="str">
        <f>VLOOKUP(BD260,$BO$285:$BP$291,2,FALSE)</f>
        <v>Unclassified</v>
      </c>
      <c r="BF260" s="85">
        <f>VLOOKUP(BP_MinStandards,BQ263:BS268,2,FALSE)</f>
        <v>0</v>
      </c>
      <c r="BG260" s="243">
        <f>MIN(BG10:BG252)</f>
        <v>0</v>
      </c>
      <c r="BH260" s="84" t="str">
        <f>VLOOKUP(BG260,$BO$285:$BP$291,2,FALSE)</f>
        <v>Unclassified</v>
      </c>
      <c r="BI260" s="85">
        <f>VLOOKUP(BP_MinStandards_design,BQ263:BS268,2,FALSE)</f>
        <v>0</v>
      </c>
      <c r="BJ260" s="243">
        <f>MIN(BJ10:BJ252)</f>
        <v>0</v>
      </c>
      <c r="BK260" s="84" t="str">
        <f>VLOOKUP(BJ260,$BO$285:$BP$291,2,FALSE)</f>
        <v>Unclassified</v>
      </c>
      <c r="BL260" s="85">
        <f>VLOOKUP(BP_MinStandards_const,BQ263:BS268,2,FALSE)</f>
        <v>0</v>
      </c>
    </row>
    <row r="261" spans="1:80" x14ac:dyDescent="0.25">
      <c r="D261" s="251"/>
      <c r="E261" s="251" t="s">
        <v>226</v>
      </c>
      <c r="F261" s="686"/>
      <c r="G261" s="686"/>
      <c r="H261" s="686"/>
      <c r="I261" s="686"/>
      <c r="J261" s="686"/>
      <c r="K261" s="686"/>
      <c r="L261" s="686"/>
      <c r="M261" s="686"/>
      <c r="N261" s="686"/>
      <c r="O261" s="686"/>
      <c r="P261" s="686"/>
      <c r="Q261" s="686"/>
      <c r="R261" s="686"/>
      <c r="AE261" s="96">
        <f>Man_cont_tot+Hea_cont_tot+Ene_cont_tot+Tra_cont_tot+Wat_cont_tot+Mat_cont_tot+Wst_cont_tot+LE_cont_tot+Pol_cont_tot+Inn_cont_tot</f>
        <v>0</v>
      </c>
      <c r="AI261" s="96" t="str">
        <f>AD_no</f>
        <v>No</v>
      </c>
      <c r="AX261" s="1355" t="s">
        <v>239</v>
      </c>
      <c r="AY261" s="1356"/>
      <c r="AZ261" s="1356"/>
      <c r="BA261" s="1356"/>
      <c r="BB261" s="1356"/>
      <c r="BC261" s="1357"/>
      <c r="BD261" s="239">
        <f>Man_Credits+Hea_Credits+Ene_Credits+Tra_Credits+Wat__Credits+Mat_Credits+Wst_Credits+LE_Credits+Pol_Credits+Inn_Credits</f>
        <v>153</v>
      </c>
      <c r="BE261" s="167"/>
      <c r="BF261" s="185"/>
      <c r="BG261" s="239">
        <f>Man_Credits+Hea_Credits+Ene_Credits+Tra_Credits+Wat__Credits+Mat_Credits+Wst_Credits+LE_Credits+Pol_Credits+Inn_Credits</f>
        <v>153</v>
      </c>
      <c r="BH261" s="167"/>
      <c r="BI261" s="185"/>
      <c r="BJ261" s="239">
        <f>Man_Credits+Hea_Credits+Ene_Credits+Tra_Credits+Wat__Credits+Mat_Credits+Wst_Credits+LE_Credits+Pol_Credits+Inn_Credits</f>
        <v>153</v>
      </c>
      <c r="BK261" s="167"/>
      <c r="BL261" s="185"/>
    </row>
    <row r="262" spans="1:80" ht="15.75" thickBot="1" x14ac:dyDescent="0.3">
      <c r="E262" s="96" t="s">
        <v>698</v>
      </c>
      <c r="AX262" s="1355" t="s">
        <v>240</v>
      </c>
      <c r="AY262" s="1356"/>
      <c r="AZ262" s="1356"/>
      <c r="BA262" s="1356"/>
      <c r="BB262" s="1356"/>
      <c r="BC262" s="1357"/>
      <c r="BD262" s="239">
        <f>Achieved_initial</f>
        <v>0</v>
      </c>
      <c r="BE262" s="167"/>
      <c r="BF262" s="185"/>
      <c r="BG262" s="239">
        <f>Achieved_design</f>
        <v>0</v>
      </c>
      <c r="BH262" s="167"/>
      <c r="BI262" s="185"/>
      <c r="BJ262" s="239">
        <f>Achieved_const</f>
        <v>0</v>
      </c>
      <c r="BK262" s="167"/>
      <c r="BL262" s="185"/>
    </row>
    <row r="263" spans="1:80" ht="15.75" thickBot="1" x14ac:dyDescent="0.3">
      <c r="E263" s="96" t="s">
        <v>708</v>
      </c>
      <c r="N263" s="819"/>
      <c r="AX263" s="1359" t="s">
        <v>243</v>
      </c>
      <c r="AY263" s="1360"/>
      <c r="AZ263" s="1360"/>
      <c r="BA263" s="1360"/>
      <c r="BB263" s="1360"/>
      <c r="BC263" s="1361"/>
      <c r="BD263" s="88">
        <f>Score_Initial</f>
        <v>0</v>
      </c>
      <c r="BE263" s="86" t="str">
        <f>IF(BD263&gt;=BP268,BQ268,IF(BD263&gt;=BP267,BQ267,IF(BD263&gt;=BP266,BQ266,IF(BD263&gt;=BP265,BQ265,IF(BD263&gt;=BP264,BQ264,BQ263)))))</f>
        <v>Unclassified</v>
      </c>
      <c r="BF263" s="87">
        <f>VLOOKUP(BE263,BQ263:BS268,2,FALSE)</f>
        <v>0</v>
      </c>
      <c r="BG263" s="88">
        <f>Score_design</f>
        <v>0</v>
      </c>
      <c r="BH263" s="86" t="str">
        <f>IF(BG263&gt;=BP268,BQ268,IF(BG263&gt;=BP267,BQ267,IF(BG263&gt;=BP266,BQ266,IF(BG263&gt;=BP265,BQ265,IF(BG263&gt;=BP264,BQ264,BQ263)))))</f>
        <v>Unclassified</v>
      </c>
      <c r="BI263" s="87">
        <f>VLOOKUP(BH263,BQ263:BS268,2,FALSE)</f>
        <v>0</v>
      </c>
      <c r="BJ263" s="88">
        <f>Score_const</f>
        <v>0</v>
      </c>
      <c r="BK263" s="86" t="str">
        <f>IF(BJ263&gt;=BP268,BQ268,IF(BJ263&gt;=BP267,BQ267,IF(BJ263&gt;=BP266,BQ266,IF(BJ263&gt;=BP265,BQ265,IF(BJ263&gt;=BP264,BQ264,BQ263)))))</f>
        <v>Unclassified</v>
      </c>
      <c r="BL263" s="87">
        <f>VLOOKUP(BK263,BQ263:BS268,2,FALSE)</f>
        <v>0</v>
      </c>
      <c r="BO263" s="244" t="s">
        <v>242</v>
      </c>
      <c r="BP263" s="245">
        <v>0</v>
      </c>
      <c r="BQ263" s="246" t="s">
        <v>72</v>
      </c>
      <c r="BR263" s="247">
        <v>0</v>
      </c>
      <c r="BT263" s="96" t="s">
        <v>72</v>
      </c>
      <c r="BU263" s="96" t="s">
        <v>826</v>
      </c>
    </row>
    <row r="264" spans="1:80" ht="15.75" thickBot="1" x14ac:dyDescent="0.3">
      <c r="E264" s="96" t="s">
        <v>1061</v>
      </c>
      <c r="N264" s="819"/>
      <c r="AX264" s="130"/>
      <c r="AY264" s="130"/>
      <c r="AZ264" s="130"/>
      <c r="BA264" s="130"/>
      <c r="BB264" s="130"/>
      <c r="BC264" s="130"/>
      <c r="BD264" s="130"/>
      <c r="BE264" s="130"/>
      <c r="BO264" s="248" t="s">
        <v>241</v>
      </c>
      <c r="BP264" s="249">
        <v>0.3</v>
      </c>
      <c r="BQ264" s="99" t="s">
        <v>74</v>
      </c>
      <c r="BR264" s="250">
        <v>1</v>
      </c>
      <c r="BT264" s="96" t="s">
        <v>74</v>
      </c>
      <c r="BU264" s="96" t="s">
        <v>87</v>
      </c>
    </row>
    <row r="265" spans="1:80" ht="15.75" thickBot="1" x14ac:dyDescent="0.3">
      <c r="E265" s="96" t="s">
        <v>996</v>
      </c>
      <c r="L265" s="819"/>
      <c r="N265" s="819"/>
      <c r="AX265" s="252" t="s">
        <v>244</v>
      </c>
      <c r="AY265" s="253"/>
      <c r="AZ265" s="253"/>
      <c r="BA265" s="253"/>
      <c r="BB265" s="253"/>
      <c r="BC265" s="254"/>
      <c r="BD265" s="255" t="s">
        <v>245</v>
      </c>
      <c r="BE265" s="63" t="str">
        <f>IF(BF265=1,(BP_MinStandards&amp;"*"),BE263)</f>
        <v>Unclassified</v>
      </c>
      <c r="BF265" s="62">
        <f>IF(BF260&lt;BF263,1,0)</f>
        <v>0</v>
      </c>
      <c r="BH265" s="63" t="str">
        <f>IF(BI265=1,(BP_MinStandards_design&amp;"*"),BH263)</f>
        <v>Unclassified</v>
      </c>
      <c r="BI265" s="62">
        <f>IF(BI260&lt;BI263,1,0)</f>
        <v>0</v>
      </c>
      <c r="BK265" s="63" t="str">
        <f>IF(BL265=1,(BP_MinStandards_const&amp;"*"),BK263)</f>
        <v>Unclassified</v>
      </c>
      <c r="BL265" s="62">
        <f>IF(BL260&lt;BL263,1,0)</f>
        <v>0</v>
      </c>
      <c r="BO265" s="248" t="s">
        <v>241</v>
      </c>
      <c r="BP265" s="249">
        <v>0.45</v>
      </c>
      <c r="BQ265" s="99" t="s">
        <v>75</v>
      </c>
      <c r="BR265" s="250">
        <v>2</v>
      </c>
      <c r="BT265" s="96" t="s">
        <v>75</v>
      </c>
      <c r="BU265" s="96" t="s">
        <v>88</v>
      </c>
    </row>
    <row r="266" spans="1:80" x14ac:dyDescent="0.25">
      <c r="E266" s="96" t="s">
        <v>699</v>
      </c>
      <c r="L266" s="819" t="s">
        <v>578</v>
      </c>
      <c r="T266" s="96">
        <f>IF(OR(AI74&lt;&gt;AB74,Ene02_user&lt;&gt;Ene02_credits),0,1)</f>
        <v>0</v>
      </c>
      <c r="BO266" s="248" t="s">
        <v>241</v>
      </c>
      <c r="BP266" s="249">
        <v>0.55000000000000004</v>
      </c>
      <c r="BQ266" s="99" t="s">
        <v>76</v>
      </c>
      <c r="BR266" s="250">
        <v>3</v>
      </c>
      <c r="BT266" s="96" t="s">
        <v>76</v>
      </c>
      <c r="BU266" s="96" t="s">
        <v>89</v>
      </c>
    </row>
    <row r="267" spans="1:80" x14ac:dyDescent="0.25">
      <c r="E267" s="96" t="s">
        <v>709</v>
      </c>
      <c r="L267" s="819" t="s">
        <v>579</v>
      </c>
      <c r="AX267" s="96" t="s">
        <v>246</v>
      </c>
      <c r="BO267" s="248" t="s">
        <v>241</v>
      </c>
      <c r="BP267" s="249">
        <v>0.7</v>
      </c>
      <c r="BQ267" s="99" t="s">
        <v>77</v>
      </c>
      <c r="BR267" s="250">
        <v>4</v>
      </c>
      <c r="BT267" s="96" t="s">
        <v>77</v>
      </c>
      <c r="BU267" s="96" t="s">
        <v>235</v>
      </c>
    </row>
    <row r="268" spans="1:80" ht="15.75" thickBot="1" x14ac:dyDescent="0.3">
      <c r="E268" s="96" t="s">
        <v>700</v>
      </c>
      <c r="L268" s="819" t="s">
        <v>580</v>
      </c>
      <c r="BE268" s="260" t="str">
        <f>IF(BF265=1,AX267,"")</f>
        <v/>
      </c>
      <c r="BH268" s="260" t="str">
        <f>IF(BI265=1,AX267,"")</f>
        <v/>
      </c>
      <c r="BK268" s="260" t="str">
        <f>IF(BL265=1,AX267,"")</f>
        <v/>
      </c>
      <c r="BO268" s="256" t="s">
        <v>241</v>
      </c>
      <c r="BP268" s="257">
        <v>0.85</v>
      </c>
      <c r="BQ268" s="258" t="s">
        <v>78</v>
      </c>
      <c r="BR268" s="259">
        <v>5</v>
      </c>
      <c r="BT268" s="96" t="s">
        <v>78</v>
      </c>
      <c r="BU268" s="96" t="s">
        <v>90</v>
      </c>
    </row>
    <row r="269" spans="1:80" x14ac:dyDescent="0.25">
      <c r="E269" s="96" t="s">
        <v>701</v>
      </c>
      <c r="L269" s="819"/>
    </row>
    <row r="270" spans="1:80" x14ac:dyDescent="0.25">
      <c r="E270" s="96" t="s">
        <v>702</v>
      </c>
      <c r="L270" s="819" t="s">
        <v>584</v>
      </c>
      <c r="AX270" s="96" t="str">
        <f>"* = "&amp;AX267</f>
        <v>* = The rating has been limited to the min. standards level achieved</v>
      </c>
    </row>
    <row r="271" spans="1:80" x14ac:dyDescent="0.25">
      <c r="E271" s="96" t="s">
        <v>703</v>
      </c>
      <c r="L271" s="819" t="s">
        <v>581</v>
      </c>
    </row>
    <row r="272" spans="1:80" x14ac:dyDescent="0.25">
      <c r="E272" s="96" t="s">
        <v>704</v>
      </c>
      <c r="L272" s="819"/>
    </row>
    <row r="273" spans="3:76" x14ac:dyDescent="0.25">
      <c r="E273" s="96" t="s">
        <v>705</v>
      </c>
      <c r="L273" s="819" t="s">
        <v>582</v>
      </c>
    </row>
    <row r="274" spans="3:76" x14ac:dyDescent="0.25">
      <c r="E274" s="96" t="s">
        <v>706</v>
      </c>
      <c r="L274" s="819" t="s">
        <v>583</v>
      </c>
    </row>
    <row r="275" spans="3:76" x14ac:dyDescent="0.25">
      <c r="E275" s="96" t="s">
        <v>707</v>
      </c>
      <c r="L275" s="819"/>
    </row>
    <row r="276" spans="3:76" x14ac:dyDescent="0.25">
      <c r="E276" s="96" t="s">
        <v>314</v>
      </c>
      <c r="L276" s="819"/>
    </row>
    <row r="277" spans="3:76" x14ac:dyDescent="0.25">
      <c r="L277" s="819" t="s">
        <v>1062</v>
      </c>
    </row>
    <row r="278" spans="3:76" ht="45" x14ac:dyDescent="0.25">
      <c r="D278" s="96" t="s">
        <v>12</v>
      </c>
      <c r="E278" s="96" t="s">
        <v>312</v>
      </c>
      <c r="F278" s="763" t="s">
        <v>1004</v>
      </c>
    </row>
    <row r="279" spans="3:76" ht="45" x14ac:dyDescent="0.25">
      <c r="D279" s="96" t="s">
        <v>13</v>
      </c>
      <c r="E279" s="96" t="s">
        <v>312</v>
      </c>
      <c r="F279" s="763" t="s">
        <v>1005</v>
      </c>
    </row>
    <row r="282" spans="3:76" x14ac:dyDescent="0.25">
      <c r="C282" s="242" t="s">
        <v>174</v>
      </c>
      <c r="D282" s="242" t="s">
        <v>1094</v>
      </c>
      <c r="E282" s="1123" t="s">
        <v>1002</v>
      </c>
      <c r="AI282" s="96">
        <f>'Pre-Assessment Estimator'!G136</f>
        <v>0</v>
      </c>
      <c r="AJ282" s="96">
        <f>'Pre-Assessment Estimator'!N136</f>
        <v>0</v>
      </c>
      <c r="AK282" s="96">
        <f>'Pre-Assessment Estimator'!U136</f>
        <v>0</v>
      </c>
    </row>
    <row r="285" spans="3:76" x14ac:dyDescent="0.25">
      <c r="BN285" s="96" t="s">
        <v>78</v>
      </c>
      <c r="BO285" s="96">
        <v>5</v>
      </c>
      <c r="BP285" s="96" t="s">
        <v>78</v>
      </c>
      <c r="BR285" s="96" t="s">
        <v>827</v>
      </c>
      <c r="BT285" s="96" t="s">
        <v>78</v>
      </c>
      <c r="BU285" s="96" t="s">
        <v>90</v>
      </c>
      <c r="BW285" s="96" t="s">
        <v>1171</v>
      </c>
      <c r="BX285" s="96">
        <v>5</v>
      </c>
    </row>
    <row r="286" spans="3:76" x14ac:dyDescent="0.25">
      <c r="BN286" s="96" t="s">
        <v>77</v>
      </c>
      <c r="BO286" s="96">
        <v>4</v>
      </c>
      <c r="BP286" s="96" t="s">
        <v>77</v>
      </c>
      <c r="BR286" s="96" t="s">
        <v>828</v>
      </c>
      <c r="BT286" s="96" t="s">
        <v>77</v>
      </c>
      <c r="BU286" s="96" t="s">
        <v>235</v>
      </c>
      <c r="BW286" s="96" t="s">
        <v>1170</v>
      </c>
      <c r="BX286" s="96">
        <v>4</v>
      </c>
    </row>
    <row r="287" spans="3:76" x14ac:dyDescent="0.25">
      <c r="BN287" s="96" t="s">
        <v>76</v>
      </c>
      <c r="BO287" s="96">
        <v>3</v>
      </c>
      <c r="BP287" s="96" t="s">
        <v>76</v>
      </c>
      <c r="BR287" s="96" t="s">
        <v>829</v>
      </c>
      <c r="BT287" s="96" t="s">
        <v>76</v>
      </c>
      <c r="BU287" s="96" t="s">
        <v>89</v>
      </c>
      <c r="BW287" s="96" t="s">
        <v>1169</v>
      </c>
      <c r="BX287" s="96">
        <v>3</v>
      </c>
    </row>
    <row r="288" spans="3:76" x14ac:dyDescent="0.25">
      <c r="BN288" s="96" t="s">
        <v>75</v>
      </c>
      <c r="BO288" s="96">
        <v>2</v>
      </c>
      <c r="BP288" s="96" t="s">
        <v>75</v>
      </c>
      <c r="BR288" s="96" t="s">
        <v>75</v>
      </c>
      <c r="BT288" s="96" t="s">
        <v>75</v>
      </c>
      <c r="BU288" s="96" t="s">
        <v>88</v>
      </c>
      <c r="BW288" s="96" t="s">
        <v>1168</v>
      </c>
      <c r="BX288" s="96">
        <v>2</v>
      </c>
    </row>
    <row r="289" spans="4:76" x14ac:dyDescent="0.25">
      <c r="BN289" s="96" t="s">
        <v>74</v>
      </c>
      <c r="BO289" s="96">
        <v>1</v>
      </c>
      <c r="BP289" s="96" t="s">
        <v>74</v>
      </c>
      <c r="BR289" s="96" t="s">
        <v>74</v>
      </c>
      <c r="BT289" s="96" t="s">
        <v>74</v>
      </c>
      <c r="BU289" s="96" t="s">
        <v>87</v>
      </c>
      <c r="BW289" s="96" t="s">
        <v>1172</v>
      </c>
      <c r="BX289" s="96">
        <v>1</v>
      </c>
    </row>
    <row r="290" spans="4:76" x14ac:dyDescent="0.25">
      <c r="BN290" s="96" t="s">
        <v>72</v>
      </c>
      <c r="BO290" s="96">
        <v>0</v>
      </c>
      <c r="BP290" s="96" t="s">
        <v>72</v>
      </c>
      <c r="BR290" s="96" t="s">
        <v>72</v>
      </c>
      <c r="BT290" s="96" t="s">
        <v>72</v>
      </c>
      <c r="BU290" s="96" t="s">
        <v>826</v>
      </c>
      <c r="BW290" s="96" t="s">
        <v>1167</v>
      </c>
      <c r="BX290" s="96">
        <v>0</v>
      </c>
    </row>
    <row r="291" spans="4:76" x14ac:dyDescent="0.25">
      <c r="BN291" s="96" t="s">
        <v>14</v>
      </c>
      <c r="BO291" s="96">
        <v>9</v>
      </c>
      <c r="BP291" s="96" t="s">
        <v>14</v>
      </c>
      <c r="BR291" s="96" t="s">
        <v>14</v>
      </c>
      <c r="BT291" s="96" t="s">
        <v>14</v>
      </c>
      <c r="BU291" s="96" t="s">
        <v>14</v>
      </c>
      <c r="BW291" s="96" t="s">
        <v>14</v>
      </c>
    </row>
    <row r="292" spans="4:76" ht="15.75" thickBot="1" x14ac:dyDescent="0.3">
      <c r="E292" s="667">
        <v>1</v>
      </c>
      <c r="F292" s="780">
        <v>2</v>
      </c>
      <c r="G292" s="780">
        <v>3</v>
      </c>
      <c r="H292" s="780">
        <v>4</v>
      </c>
    </row>
    <row r="293" spans="4:76" ht="15.75" thickBot="1" x14ac:dyDescent="0.3">
      <c r="D293" s="145"/>
      <c r="E293" s="658" t="s">
        <v>411</v>
      </c>
      <c r="F293" s="781" t="s">
        <v>417</v>
      </c>
      <c r="G293" s="781" t="s">
        <v>419</v>
      </c>
      <c r="H293" s="782" t="s">
        <v>420</v>
      </c>
    </row>
    <row r="294" spans="4:76" ht="15.75" thickBot="1" x14ac:dyDescent="0.3">
      <c r="D294" s="163" t="s">
        <v>412</v>
      </c>
      <c r="E294" s="655" t="str">
        <f>'Pre-Assessment Estimator'!AK39</f>
        <v>O1: Glare ctrl/artificial light</v>
      </c>
      <c r="F294" s="783">
        <v>0</v>
      </c>
      <c r="G294" s="783" t="s">
        <v>418</v>
      </c>
      <c r="H294" s="784"/>
    </row>
    <row r="295" spans="4:76" ht="15.75" thickBot="1" x14ac:dyDescent="0.3">
      <c r="D295" s="166" t="s">
        <v>412</v>
      </c>
      <c r="E295" s="70" t="str">
        <f>'Pre-Assessment Estimator'!AL39</f>
        <v>O2: Glare control (-0,5 c)</v>
      </c>
      <c r="F295" s="785">
        <v>-0.5</v>
      </c>
      <c r="G295" s="785" t="s">
        <v>418</v>
      </c>
      <c r="H295" s="786"/>
      <c r="BI295" s="152" t="s">
        <v>280</v>
      </c>
      <c r="BJ295" s="152" t="s">
        <v>281</v>
      </c>
      <c r="BK295" s="153" t="s">
        <v>1</v>
      </c>
      <c r="BP295" s="151" t="s">
        <v>282</v>
      </c>
      <c r="BQ295" s="152" t="s">
        <v>85</v>
      </c>
      <c r="BR295" s="152" t="s">
        <v>280</v>
      </c>
      <c r="BS295" s="152" t="s">
        <v>281</v>
      </c>
      <c r="BT295" s="153" t="s">
        <v>1</v>
      </c>
    </row>
    <row r="296" spans="4:76" x14ac:dyDescent="0.25">
      <c r="D296" s="166" t="s">
        <v>412</v>
      </c>
      <c r="E296" s="70" t="str">
        <f>'Pre-Assessment Estimator'!AM39</f>
        <v>O2: Artificial lighting (-0,5 c)</v>
      </c>
      <c r="F296" s="785">
        <v>-0.5</v>
      </c>
      <c r="G296" s="785" t="s">
        <v>418</v>
      </c>
      <c r="H296" s="786"/>
      <c r="BH296" s="1183" t="s">
        <v>710</v>
      </c>
      <c r="BI296" s="99">
        <f t="shared" ref="BI296:BI328" si="664">VLOOKUP($BH296,$B$10:$BK$252,BD$1,FALSE)</f>
        <v>3</v>
      </c>
      <c r="BJ296" s="99">
        <f t="shared" ref="BJ296:BJ328" si="665">VLOOKUP($BH296,$B$10:$BK$252,BG$1,FALSE)</f>
        <v>3</v>
      </c>
      <c r="BK296" s="99">
        <f t="shared" ref="BK296:BK328" si="666">VLOOKUP($BH296,$B$10:$BK$252,BJ$1,FALSE)</f>
        <v>3</v>
      </c>
      <c r="BP296" s="313" t="s">
        <v>545</v>
      </c>
      <c r="BQ296" s="177" t="s">
        <v>91</v>
      </c>
      <c r="BR296" s="177">
        <f>MIN(BI296:BI297)</f>
        <v>3</v>
      </c>
      <c r="BS296" s="177">
        <f t="shared" ref="BS296:BT296" si="667">MIN(BJ296:BJ297)</f>
        <v>3</v>
      </c>
      <c r="BT296" s="177">
        <f t="shared" si="667"/>
        <v>3</v>
      </c>
    </row>
    <row r="297" spans="4:76" ht="15.75" thickBot="1" x14ac:dyDescent="0.3">
      <c r="D297" s="166" t="s">
        <v>412</v>
      </c>
      <c r="E297" s="656" t="str">
        <f>'Pre-Assessment Estimator'!AN39</f>
        <v>O2: Glare ctrl &amp; artif light (-1,0 c)</v>
      </c>
      <c r="F297" s="785">
        <v>-1</v>
      </c>
      <c r="G297" s="785" t="s">
        <v>418</v>
      </c>
      <c r="H297" s="786"/>
      <c r="BH297" s="1184" t="s">
        <v>711</v>
      </c>
      <c r="BI297" s="258">
        <f t="shared" si="664"/>
        <v>3</v>
      </c>
      <c r="BJ297" s="258">
        <f t="shared" si="665"/>
        <v>3</v>
      </c>
      <c r="BK297" s="258">
        <f t="shared" si="666"/>
        <v>3</v>
      </c>
      <c r="BP297" s="166" t="s">
        <v>547</v>
      </c>
      <c r="BQ297" s="167" t="s">
        <v>93</v>
      </c>
      <c r="BR297" s="167">
        <f>MIN(BI298:BI300)</f>
        <v>0</v>
      </c>
      <c r="BS297" s="167">
        <f t="shared" ref="BS297:BT297" si="668">MIN(BJ298:BJ300)</f>
        <v>0</v>
      </c>
      <c r="BT297" s="167">
        <f t="shared" si="668"/>
        <v>0</v>
      </c>
    </row>
    <row r="298" spans="4:76" x14ac:dyDescent="0.25">
      <c r="D298" s="166" t="s">
        <v>412</v>
      </c>
      <c r="E298" s="655" t="str">
        <f>'Pre-Assessment Estimator'!AO39</f>
        <v>O3: Glare ctrl/artif lighting</v>
      </c>
      <c r="F298" s="785">
        <v>0</v>
      </c>
      <c r="G298" s="785" t="s">
        <v>418</v>
      </c>
      <c r="H298" s="786"/>
      <c r="BH298" s="681" t="s">
        <v>719</v>
      </c>
      <c r="BI298" s="96">
        <f t="shared" si="664"/>
        <v>0</v>
      </c>
      <c r="BJ298" s="96">
        <f t="shared" si="665"/>
        <v>0</v>
      </c>
      <c r="BK298" s="96">
        <f t="shared" si="666"/>
        <v>0</v>
      </c>
      <c r="BP298" s="166" t="s">
        <v>94</v>
      </c>
      <c r="BQ298" s="167" t="s">
        <v>94</v>
      </c>
      <c r="BR298" s="167">
        <f>MIN(BI301:BI302)</f>
        <v>0</v>
      </c>
      <c r="BS298" s="167">
        <f t="shared" ref="BS298:BT298" si="669">MIN(BJ301:BJ302)</f>
        <v>0</v>
      </c>
      <c r="BT298" s="167">
        <f t="shared" si="669"/>
        <v>0</v>
      </c>
    </row>
    <row r="299" spans="4:76" ht="15.75" thickBot="1" x14ac:dyDescent="0.3">
      <c r="D299" s="229" t="s">
        <v>412</v>
      </c>
      <c r="E299" s="656" t="str">
        <f>'Pre-Assessment Estimator'!AP39</f>
        <v>Glare ctrl/artif lighting N/A</v>
      </c>
      <c r="F299" s="787">
        <v>0</v>
      </c>
      <c r="G299" s="787" t="s">
        <v>418</v>
      </c>
      <c r="H299" s="788">
        <v>2</v>
      </c>
      <c r="BH299" s="681" t="s">
        <v>720</v>
      </c>
      <c r="BI299" s="96">
        <f t="shared" si="664"/>
        <v>2</v>
      </c>
      <c r="BJ299" s="96">
        <f t="shared" si="665"/>
        <v>2</v>
      </c>
      <c r="BK299" s="96">
        <f t="shared" si="666"/>
        <v>2</v>
      </c>
      <c r="BP299" s="166" t="s">
        <v>557</v>
      </c>
      <c r="BQ299" s="167" t="str">
        <f>IF(E6=H9,"","Man 05")</f>
        <v>Man 05</v>
      </c>
      <c r="BR299" s="167">
        <f>MIN(BI303)</f>
        <v>3</v>
      </c>
      <c r="BS299" s="167">
        <f t="shared" ref="BS299:BT299" si="670">MIN(BJ303)</f>
        <v>3</v>
      </c>
      <c r="BT299" s="167">
        <f t="shared" si="670"/>
        <v>3</v>
      </c>
      <c r="BU299" s="223" t="s">
        <v>571</v>
      </c>
    </row>
    <row r="300" spans="4:76" ht="15.75" thickBot="1" x14ac:dyDescent="0.3">
      <c r="D300" s="163" t="s">
        <v>413</v>
      </c>
      <c r="E300" s="655" t="str">
        <f>'Pre-Assessment Estimator'!AK47</f>
        <v>O1: VOC</v>
      </c>
      <c r="F300" s="783">
        <v>0</v>
      </c>
      <c r="G300" s="783" t="s">
        <v>418</v>
      </c>
      <c r="H300" s="784"/>
      <c r="BH300" s="1184" t="s">
        <v>910</v>
      </c>
      <c r="BI300" s="258">
        <f t="shared" si="664"/>
        <v>3</v>
      </c>
      <c r="BJ300" s="258">
        <f t="shared" si="665"/>
        <v>3</v>
      </c>
      <c r="BK300" s="258">
        <f t="shared" si="666"/>
        <v>3</v>
      </c>
      <c r="BP300" s="166" t="s">
        <v>861</v>
      </c>
      <c r="BQ300" s="96" t="s">
        <v>116</v>
      </c>
      <c r="BR300" s="167">
        <f>MIN(BI304)</f>
        <v>0</v>
      </c>
      <c r="BS300" s="167">
        <f>MIN(BJ304)</f>
        <v>0</v>
      </c>
      <c r="BT300" s="167">
        <f>MIN(BK304)</f>
        <v>0</v>
      </c>
    </row>
    <row r="301" spans="4:76" x14ac:dyDescent="0.25">
      <c r="D301" s="166" t="s">
        <v>413</v>
      </c>
      <c r="E301" s="70" t="str">
        <f>'Pre-Assessment Estimator'!AL47</f>
        <v>O2: VOC (AC 6-7: -0,5 c)</v>
      </c>
      <c r="F301" s="785">
        <v>-0.5</v>
      </c>
      <c r="G301" s="785" t="s">
        <v>418</v>
      </c>
      <c r="H301" s="786"/>
      <c r="BH301" s="681" t="s">
        <v>721</v>
      </c>
      <c r="BI301" s="96">
        <f t="shared" si="664"/>
        <v>0</v>
      </c>
      <c r="BJ301" s="96">
        <f t="shared" si="665"/>
        <v>0</v>
      </c>
      <c r="BK301" s="96">
        <f t="shared" si="666"/>
        <v>0</v>
      </c>
      <c r="BP301" s="166" t="s">
        <v>541</v>
      </c>
      <c r="BQ301" s="167" t="s">
        <v>117</v>
      </c>
      <c r="BR301" s="167">
        <f>MIN(BI305:BI306)</f>
        <v>0</v>
      </c>
      <c r="BS301" s="167">
        <f>MIN(BJ305:BJ306)</f>
        <v>0</v>
      </c>
      <c r="BT301" s="167">
        <f>MIN(BK305:BK306)</f>
        <v>0</v>
      </c>
    </row>
    <row r="302" spans="4:76" ht="15.75" thickBot="1" x14ac:dyDescent="0.3">
      <c r="D302" s="166" t="s">
        <v>413</v>
      </c>
      <c r="E302" s="70" t="str">
        <f>'Pre-Assessment Estimator'!AM47</f>
        <v>O2: VOC (AC 8-9: -1,0 c)</v>
      </c>
      <c r="F302" s="785">
        <v>-1</v>
      </c>
      <c r="G302" s="785" t="s">
        <v>418</v>
      </c>
      <c r="H302" s="786"/>
      <c r="BH302" s="1184" t="s">
        <v>723</v>
      </c>
      <c r="BI302" s="258">
        <f t="shared" si="664"/>
        <v>2</v>
      </c>
      <c r="BJ302" s="258">
        <f t="shared" si="665"/>
        <v>2</v>
      </c>
      <c r="BK302" s="258">
        <f t="shared" si="666"/>
        <v>2</v>
      </c>
      <c r="BP302" s="166" t="s">
        <v>572</v>
      </c>
      <c r="BQ302" s="167" t="s">
        <v>134</v>
      </c>
      <c r="BR302" s="167">
        <f>MIN(BI307)</f>
        <v>3</v>
      </c>
      <c r="BS302" s="167">
        <f t="shared" ref="BS302:BT302" si="671">MIN(BJ307)</f>
        <v>3</v>
      </c>
      <c r="BT302" s="167">
        <f t="shared" si="671"/>
        <v>3</v>
      </c>
      <c r="BU302" s="223"/>
    </row>
    <row r="303" spans="4:76" ht="15.75" thickBot="1" x14ac:dyDescent="0.3">
      <c r="D303" s="166" t="s">
        <v>413</v>
      </c>
      <c r="E303" s="70" t="str">
        <f>'Pre-Assessment Estimator'!AN47</f>
        <v>O3: VOC</v>
      </c>
      <c r="F303" s="785">
        <v>0</v>
      </c>
      <c r="G303" s="785" t="s">
        <v>418</v>
      </c>
      <c r="H303" s="786"/>
      <c r="BH303" s="1185" t="s">
        <v>725</v>
      </c>
      <c r="BI303" s="1065">
        <f t="shared" si="664"/>
        <v>3</v>
      </c>
      <c r="BJ303" s="1065">
        <f t="shared" si="665"/>
        <v>3</v>
      </c>
      <c r="BK303" s="1065">
        <f t="shared" si="666"/>
        <v>3</v>
      </c>
      <c r="BP303" s="188" t="s">
        <v>946</v>
      </c>
      <c r="BQ303" s="167" t="s">
        <v>140</v>
      </c>
      <c r="BR303" s="167">
        <f>MIN(BI308)</f>
        <v>0</v>
      </c>
      <c r="BS303" s="167">
        <f t="shared" ref="BS303:BT303" si="672">MIN(BJ308)</f>
        <v>0</v>
      </c>
      <c r="BT303" s="167">
        <f t="shared" si="672"/>
        <v>0</v>
      </c>
    </row>
    <row r="304" spans="4:76" ht="15.75" thickBot="1" x14ac:dyDescent="0.3">
      <c r="D304" s="192" t="s">
        <v>413</v>
      </c>
      <c r="E304" s="660" t="str">
        <f>'Pre-Assessment Estimator'!AO47</f>
        <v>VOC N/A</v>
      </c>
      <c r="F304" s="789">
        <v>0</v>
      </c>
      <c r="G304" s="789" t="s">
        <v>418</v>
      </c>
      <c r="H304" s="790">
        <v>5</v>
      </c>
      <c r="BH304" s="1185" t="s">
        <v>727</v>
      </c>
      <c r="BI304" s="1065">
        <f t="shared" si="664"/>
        <v>0</v>
      </c>
      <c r="BJ304" s="1065">
        <f t="shared" si="665"/>
        <v>0</v>
      </c>
      <c r="BK304" s="1065">
        <f t="shared" si="666"/>
        <v>0</v>
      </c>
      <c r="BP304" s="188" t="s">
        <v>549</v>
      </c>
      <c r="BQ304" s="167" t="s">
        <v>146</v>
      </c>
      <c r="BR304" s="167">
        <f>MIN(BI309)</f>
        <v>3</v>
      </c>
      <c r="BS304" s="167">
        <f t="shared" ref="BS304:BT304" si="673">MIN(BJ309)</f>
        <v>3</v>
      </c>
      <c r="BT304" s="167">
        <f t="shared" si="673"/>
        <v>3</v>
      </c>
      <c r="BU304" s="223"/>
    </row>
    <row r="305" spans="4:73" x14ac:dyDescent="0.25">
      <c r="D305" s="313" t="s">
        <v>414</v>
      </c>
      <c r="E305" s="659" t="str">
        <f>'Pre-Assessment Estimator'!AK75</f>
        <v>O1: Sub-metering</v>
      </c>
      <c r="F305" s="791">
        <v>0</v>
      </c>
      <c r="G305" s="791" t="s">
        <v>418</v>
      </c>
      <c r="H305" s="792"/>
      <c r="BH305" s="1187" t="s">
        <v>732</v>
      </c>
      <c r="BI305" s="246">
        <f t="shared" si="664"/>
        <v>0</v>
      </c>
      <c r="BJ305" s="246">
        <f t="shared" si="665"/>
        <v>0</v>
      </c>
      <c r="BK305" s="246">
        <f t="shared" si="666"/>
        <v>0</v>
      </c>
      <c r="BP305" s="166" t="s">
        <v>168</v>
      </c>
      <c r="BQ305" s="167" t="s">
        <v>168</v>
      </c>
      <c r="BR305" s="167">
        <f>MIN(BI310)</f>
        <v>3</v>
      </c>
      <c r="BS305" s="167">
        <f t="shared" ref="BS305:BT305" si="674">MIN(BJ310)</f>
        <v>3</v>
      </c>
      <c r="BT305" s="167">
        <f t="shared" si="674"/>
        <v>3</v>
      </c>
      <c r="BU305" s="223"/>
    </row>
    <row r="306" spans="4:73" ht="15.75" thickBot="1" x14ac:dyDescent="0.3">
      <c r="D306" s="166" t="s">
        <v>414</v>
      </c>
      <c r="E306" s="70" t="str">
        <f>'Pre-Assessment Estimator'!AL75</f>
        <v>O2: Sub-met. (AC 1-3: -0,5 c)</v>
      </c>
      <c r="F306" s="785">
        <v>-0.5</v>
      </c>
      <c r="G306" s="785" t="s">
        <v>418</v>
      </c>
      <c r="H306" s="786"/>
      <c r="BH306" s="1184" t="s">
        <v>734</v>
      </c>
      <c r="BI306" s="258">
        <f t="shared" si="664"/>
        <v>2</v>
      </c>
      <c r="BJ306" s="258">
        <f t="shared" si="665"/>
        <v>2</v>
      </c>
      <c r="BK306" s="258">
        <f t="shared" si="666"/>
        <v>2</v>
      </c>
      <c r="BP306" s="166" t="s">
        <v>4</v>
      </c>
      <c r="BQ306" s="167" t="s">
        <v>172</v>
      </c>
      <c r="BR306" s="167">
        <f>MIN(BI311:BI312)</f>
        <v>0</v>
      </c>
      <c r="BS306" s="167">
        <f t="shared" ref="BS306:BT306" si="675">MIN(BJ311:BJ312)</f>
        <v>0</v>
      </c>
      <c r="BT306" s="167">
        <f t="shared" si="675"/>
        <v>0</v>
      </c>
    </row>
    <row r="307" spans="4:73" ht="15.75" thickBot="1" x14ac:dyDescent="0.3">
      <c r="D307" s="166" t="s">
        <v>414</v>
      </c>
      <c r="E307" s="70" t="str">
        <f>'Pre-Assessment Estimator'!AM75</f>
        <v>O2: Sub-met. (AC 4-7: -1,0 c)</v>
      </c>
      <c r="F307" s="785">
        <v>-1</v>
      </c>
      <c r="G307" s="785" t="s">
        <v>418</v>
      </c>
      <c r="H307" s="786"/>
      <c r="BH307" s="1185" t="s">
        <v>747</v>
      </c>
      <c r="BI307" s="1065">
        <f t="shared" si="664"/>
        <v>3</v>
      </c>
      <c r="BJ307" s="1065">
        <f t="shared" si="665"/>
        <v>3</v>
      </c>
      <c r="BK307" s="1065">
        <f t="shared" si="666"/>
        <v>3</v>
      </c>
      <c r="BP307" s="166" t="s">
        <v>950</v>
      </c>
      <c r="BQ307" s="167" t="s">
        <v>477</v>
      </c>
      <c r="BR307" s="167">
        <f>MIN(BI313)</f>
        <v>0</v>
      </c>
      <c r="BS307" s="167">
        <f t="shared" ref="BS307:BT307" si="676">MIN(BJ313)</f>
        <v>0</v>
      </c>
      <c r="BT307" s="167">
        <f t="shared" si="676"/>
        <v>0</v>
      </c>
    </row>
    <row r="308" spans="4:73" ht="15.75" thickBot="1" x14ac:dyDescent="0.3">
      <c r="D308" s="166" t="s">
        <v>414</v>
      </c>
      <c r="E308" s="70" t="str">
        <f>'Pre-Assessment Estimator'!AN75</f>
        <v>O3: Sub-metering</v>
      </c>
      <c r="F308" s="785">
        <v>0</v>
      </c>
      <c r="G308" s="785" t="s">
        <v>418</v>
      </c>
      <c r="H308" s="786"/>
      <c r="BH308" s="1185" t="s">
        <v>756</v>
      </c>
      <c r="BI308" s="1065">
        <f t="shared" si="664"/>
        <v>0</v>
      </c>
      <c r="BJ308" s="1065">
        <f t="shared" si="665"/>
        <v>0</v>
      </c>
      <c r="BK308" s="1065">
        <f t="shared" si="666"/>
        <v>0</v>
      </c>
      <c r="BP308" s="166" t="s">
        <v>951</v>
      </c>
      <c r="BQ308" s="167" t="s">
        <v>173</v>
      </c>
      <c r="BR308" s="167">
        <f>MIN(BI314)</f>
        <v>0</v>
      </c>
      <c r="BS308" s="167">
        <f t="shared" ref="BS308:BT308" si="677">MIN(BJ314)</f>
        <v>0</v>
      </c>
      <c r="BT308" s="167">
        <f t="shared" si="677"/>
        <v>0</v>
      </c>
    </row>
    <row r="309" spans="4:73" ht="15.75" thickBot="1" x14ac:dyDescent="0.3">
      <c r="D309" s="192" t="s">
        <v>414</v>
      </c>
      <c r="E309" s="660" t="str">
        <f>'Pre-Assessment Estimator'!AO75</f>
        <v>Sub-metering N/A</v>
      </c>
      <c r="F309" s="789">
        <v>0</v>
      </c>
      <c r="G309" s="789" t="s">
        <v>418</v>
      </c>
      <c r="H309" s="790">
        <v>1</v>
      </c>
      <c r="BH309" s="1185" t="s">
        <v>760</v>
      </c>
      <c r="BI309" s="1065">
        <f t="shared" si="664"/>
        <v>3</v>
      </c>
      <c r="BJ309" s="1065">
        <f t="shared" si="665"/>
        <v>3</v>
      </c>
      <c r="BK309" s="1065">
        <f t="shared" si="666"/>
        <v>3</v>
      </c>
      <c r="BP309" s="166" t="s">
        <v>947</v>
      </c>
      <c r="BQ309" s="167" t="s">
        <v>174</v>
      </c>
      <c r="BR309" s="167">
        <f>MIN(BI315)</f>
        <v>3</v>
      </c>
      <c r="BS309" s="167">
        <f t="shared" ref="BS309:BT309" si="678">MIN(BJ315)</f>
        <v>3</v>
      </c>
      <c r="BT309" s="167">
        <f t="shared" si="678"/>
        <v>3</v>
      </c>
    </row>
    <row r="310" spans="4:73" ht="15.75" thickBot="1" x14ac:dyDescent="0.3">
      <c r="D310" s="313" t="s">
        <v>415</v>
      </c>
      <c r="E310" s="659" t="str">
        <f>'Pre-Assessment Estimator'!AK111</f>
        <v>O1: Flow control</v>
      </c>
      <c r="F310" s="791">
        <v>0</v>
      </c>
      <c r="G310" s="791" t="s">
        <v>418</v>
      </c>
      <c r="H310" s="792"/>
      <c r="BH310" s="1185" t="s">
        <v>763</v>
      </c>
      <c r="BI310" s="1065">
        <f t="shared" si="664"/>
        <v>3</v>
      </c>
      <c r="BJ310" s="1065">
        <f t="shared" si="665"/>
        <v>3</v>
      </c>
      <c r="BK310" s="1065">
        <f t="shared" si="666"/>
        <v>3</v>
      </c>
      <c r="BP310" s="166" t="s">
        <v>550</v>
      </c>
      <c r="BQ310" s="167" t="s">
        <v>175</v>
      </c>
      <c r="BR310" s="167">
        <f>MIN(BI316)</f>
        <v>0</v>
      </c>
      <c r="BS310" s="167">
        <f t="shared" ref="BS310:BT310" si="679">MIN(BJ316)</f>
        <v>0</v>
      </c>
      <c r="BT310" s="167">
        <f t="shared" si="679"/>
        <v>0</v>
      </c>
    </row>
    <row r="311" spans="4:73" x14ac:dyDescent="0.25">
      <c r="D311" s="166" t="s">
        <v>415</v>
      </c>
      <c r="E311" s="70" t="str">
        <f>'Pre-Assessment Estimator'!AL111</f>
        <v>O2: Flow control (-0,5 c)</v>
      </c>
      <c r="F311" s="785">
        <v>-0.5</v>
      </c>
      <c r="G311" s="785" t="s">
        <v>418</v>
      </c>
      <c r="H311" s="786"/>
      <c r="BH311" s="1187" t="s">
        <v>769</v>
      </c>
      <c r="BI311" s="246">
        <f t="shared" si="664"/>
        <v>0</v>
      </c>
      <c r="BJ311" s="246">
        <f t="shared" si="665"/>
        <v>0</v>
      </c>
      <c r="BK311" s="246">
        <f t="shared" si="666"/>
        <v>0</v>
      </c>
      <c r="BP311" s="166" t="s">
        <v>551</v>
      </c>
      <c r="BQ311" s="167" t="s">
        <v>478</v>
      </c>
      <c r="BR311" s="167">
        <f>MIN(BI317:BI318)</f>
        <v>3</v>
      </c>
      <c r="BS311" s="167">
        <f t="shared" ref="BS311:BT311" si="680">MIN(BJ317:BJ318)</f>
        <v>3</v>
      </c>
      <c r="BT311" s="167">
        <f t="shared" si="680"/>
        <v>3</v>
      </c>
    </row>
    <row r="312" spans="4:73" ht="15.75" thickBot="1" x14ac:dyDescent="0.3">
      <c r="D312" s="166" t="s">
        <v>415</v>
      </c>
      <c r="E312" s="70" t="str">
        <f>'Pre-Assessment Estimator'!AM111</f>
        <v xml:space="preserve">O3: Flow control </v>
      </c>
      <c r="F312" s="785">
        <v>0</v>
      </c>
      <c r="G312" s="785" t="s">
        <v>418</v>
      </c>
      <c r="H312" s="786"/>
      <c r="BH312" s="1186" t="s">
        <v>770</v>
      </c>
      <c r="BI312" s="258">
        <f t="shared" si="664"/>
        <v>2</v>
      </c>
      <c r="BJ312" s="258">
        <f t="shared" si="665"/>
        <v>2</v>
      </c>
      <c r="BK312" s="258">
        <f t="shared" si="666"/>
        <v>2</v>
      </c>
      <c r="BP312" s="166" t="s">
        <v>552</v>
      </c>
      <c r="BQ312" s="167" t="s">
        <v>176</v>
      </c>
      <c r="BR312" s="167">
        <f>MIN(BI319:BI322)</f>
        <v>2</v>
      </c>
      <c r="BS312" s="167">
        <f t="shared" ref="BS312:BT312" si="681">MIN(BJ319:BJ322)</f>
        <v>2</v>
      </c>
      <c r="BT312" s="167">
        <f t="shared" si="681"/>
        <v>2</v>
      </c>
    </row>
    <row r="313" spans="4:73" ht="15.75" thickBot="1" x14ac:dyDescent="0.3">
      <c r="D313" s="229" t="s">
        <v>415</v>
      </c>
      <c r="E313" s="656" t="str">
        <f>'Pre-Assessment Estimator'!AN111</f>
        <v>Flow control N/A</v>
      </c>
      <c r="F313" s="787">
        <v>0</v>
      </c>
      <c r="G313" s="787" t="s">
        <v>418</v>
      </c>
      <c r="H313" s="788">
        <v>1</v>
      </c>
      <c r="BH313" s="1185" t="s">
        <v>772</v>
      </c>
      <c r="BI313" s="246">
        <f t="shared" si="664"/>
        <v>0</v>
      </c>
      <c r="BJ313" s="246">
        <f t="shared" si="665"/>
        <v>0</v>
      </c>
      <c r="BK313" s="246">
        <f t="shared" si="666"/>
        <v>0</v>
      </c>
      <c r="BP313" s="166" t="s">
        <v>948</v>
      </c>
      <c r="BQ313" s="167" t="s">
        <v>949</v>
      </c>
      <c r="BR313" s="167">
        <f>MIN(BI323:BI324)</f>
        <v>3</v>
      </c>
      <c r="BS313" s="167">
        <f t="shared" ref="BS313:BT313" si="682">MIN(BJ323:BJ324)</f>
        <v>3</v>
      </c>
      <c r="BT313" s="167">
        <f t="shared" si="682"/>
        <v>3</v>
      </c>
    </row>
    <row r="314" spans="4:73" ht="15.75" thickBot="1" x14ac:dyDescent="0.3">
      <c r="D314" s="664" t="s">
        <v>184</v>
      </c>
      <c r="E314" s="665" t="s">
        <v>410</v>
      </c>
      <c r="F314" s="793">
        <v>1</v>
      </c>
      <c r="G314" s="793" t="s">
        <v>421</v>
      </c>
      <c r="H314" s="794"/>
      <c r="BH314" s="1185" t="s">
        <v>775</v>
      </c>
      <c r="BI314" s="1065">
        <f t="shared" si="664"/>
        <v>0</v>
      </c>
      <c r="BJ314" s="1065">
        <f t="shared" si="665"/>
        <v>0</v>
      </c>
      <c r="BK314" s="1065">
        <f t="shared" si="666"/>
        <v>0</v>
      </c>
      <c r="BP314" s="166" t="s">
        <v>179</v>
      </c>
      <c r="BQ314" s="167" t="s">
        <v>179</v>
      </c>
      <c r="BR314" s="167">
        <f>MIN(BI325)</f>
        <v>3</v>
      </c>
      <c r="BS314" s="167">
        <f t="shared" ref="BS314:BT314" si="683">MIN(BJ325)</f>
        <v>3</v>
      </c>
      <c r="BT314" s="167">
        <f t="shared" si="683"/>
        <v>3</v>
      </c>
    </row>
    <row r="315" spans="4:73" ht="15.75" thickBot="1" x14ac:dyDescent="0.3">
      <c r="D315" s="313"/>
      <c r="E315" s="663" t="s">
        <v>416</v>
      </c>
      <c r="F315" s="791"/>
      <c r="G315" s="791"/>
      <c r="H315" s="792"/>
      <c r="BH315" s="1184" t="s">
        <v>781</v>
      </c>
      <c r="BI315" s="258">
        <f t="shared" si="664"/>
        <v>3</v>
      </c>
      <c r="BJ315" s="258">
        <f t="shared" si="665"/>
        <v>3</v>
      </c>
      <c r="BK315" s="258">
        <f t="shared" si="666"/>
        <v>3</v>
      </c>
      <c r="BP315" s="166" t="s">
        <v>180</v>
      </c>
      <c r="BQ315" s="167" t="s">
        <v>180</v>
      </c>
      <c r="BR315" s="167">
        <f>MIN(BI326)</f>
        <v>2</v>
      </c>
      <c r="BS315" s="167">
        <f t="shared" ref="BS315:BT315" si="684">MIN(BJ326)</f>
        <v>2</v>
      </c>
      <c r="BT315" s="167">
        <f t="shared" si="684"/>
        <v>2</v>
      </c>
    </row>
    <row r="316" spans="4:73" ht="15.75" thickBot="1" x14ac:dyDescent="0.3">
      <c r="D316" s="166"/>
      <c r="E316" s="657" t="s">
        <v>416</v>
      </c>
      <c r="F316" s="785"/>
      <c r="G316" s="785"/>
      <c r="H316" s="786"/>
      <c r="BH316" s="1184" t="s">
        <v>782</v>
      </c>
      <c r="BI316" s="258">
        <f t="shared" si="664"/>
        <v>0</v>
      </c>
      <c r="BJ316" s="258">
        <f t="shared" si="665"/>
        <v>0</v>
      </c>
      <c r="BK316" s="258">
        <f t="shared" si="666"/>
        <v>0</v>
      </c>
      <c r="BP316" s="166" t="s">
        <v>181</v>
      </c>
      <c r="BQ316" s="167" t="s">
        <v>181</v>
      </c>
      <c r="BR316" s="167">
        <f>MIN(BI327)</f>
        <v>4</v>
      </c>
      <c r="BS316" s="167">
        <f t="shared" ref="BS316:BT316" si="685">MIN(BJ327)</f>
        <v>4</v>
      </c>
      <c r="BT316" s="167">
        <f t="shared" si="685"/>
        <v>4</v>
      </c>
    </row>
    <row r="317" spans="4:73" x14ac:dyDescent="0.25">
      <c r="D317" s="166"/>
      <c r="E317" s="657" t="s">
        <v>416</v>
      </c>
      <c r="F317" s="785"/>
      <c r="G317" s="785"/>
      <c r="H317" s="786"/>
      <c r="BH317" s="681" t="s">
        <v>786</v>
      </c>
      <c r="BI317" s="96">
        <f t="shared" si="664"/>
        <v>3</v>
      </c>
      <c r="BJ317" s="96">
        <f t="shared" si="665"/>
        <v>3</v>
      </c>
      <c r="BK317" s="96">
        <f t="shared" si="666"/>
        <v>3</v>
      </c>
      <c r="BP317" s="166" t="s">
        <v>183</v>
      </c>
      <c r="BQ317" s="167" t="s">
        <v>183</v>
      </c>
      <c r="BR317" s="167">
        <f>MIN(BI328)</f>
        <v>3</v>
      </c>
      <c r="BS317" s="167">
        <f t="shared" ref="BS317:BT317" si="686">MIN(BJ328)</f>
        <v>3</v>
      </c>
      <c r="BT317" s="167">
        <f t="shared" si="686"/>
        <v>3</v>
      </c>
    </row>
    <row r="318" spans="4:73" ht="15.75" thickBot="1" x14ac:dyDescent="0.3">
      <c r="D318" s="166"/>
      <c r="E318" s="657" t="s">
        <v>416</v>
      </c>
      <c r="F318" s="785"/>
      <c r="G318" s="785"/>
      <c r="H318" s="786"/>
      <c r="BH318" s="1184" t="s">
        <v>787</v>
      </c>
      <c r="BI318" s="258">
        <f t="shared" si="664"/>
        <v>3</v>
      </c>
      <c r="BJ318" s="258">
        <f t="shared" si="665"/>
        <v>3</v>
      </c>
      <c r="BK318" s="258">
        <f t="shared" si="666"/>
        <v>3</v>
      </c>
    </row>
    <row r="319" spans="4:73" ht="15.75" thickBot="1" x14ac:dyDescent="0.3">
      <c r="D319" s="192"/>
      <c r="E319" s="662" t="s">
        <v>416</v>
      </c>
      <c r="F319" s="789"/>
      <c r="G319" s="789"/>
      <c r="H319" s="790"/>
      <c r="BH319" s="1183" t="s">
        <v>788</v>
      </c>
      <c r="BI319" s="99">
        <f t="shared" si="664"/>
        <v>2</v>
      </c>
      <c r="BJ319" s="99">
        <f t="shared" si="665"/>
        <v>2</v>
      </c>
      <c r="BK319" s="99">
        <f t="shared" si="666"/>
        <v>2</v>
      </c>
    </row>
    <row r="320" spans="4:73" x14ac:dyDescent="0.25">
      <c r="D320" s="313"/>
      <c r="E320" s="177" t="s">
        <v>405</v>
      </c>
      <c r="F320" s="791">
        <v>1</v>
      </c>
      <c r="G320" s="791"/>
      <c r="H320" s="792"/>
      <c r="BH320" s="1183" t="s">
        <v>789</v>
      </c>
      <c r="BI320" s="99">
        <f t="shared" si="664"/>
        <v>4</v>
      </c>
      <c r="BJ320" s="99">
        <f t="shared" si="665"/>
        <v>4</v>
      </c>
      <c r="BK320" s="99">
        <f t="shared" si="666"/>
        <v>4</v>
      </c>
    </row>
    <row r="321" spans="4:63" x14ac:dyDescent="0.25">
      <c r="D321" s="166"/>
      <c r="E321" s="167" t="s">
        <v>1063</v>
      </c>
      <c r="F321" s="785">
        <v>0.5</v>
      </c>
      <c r="G321" s="785"/>
      <c r="H321" s="786"/>
      <c r="BH321" s="1183" t="s">
        <v>790</v>
      </c>
      <c r="BI321" s="99">
        <f t="shared" si="664"/>
        <v>3</v>
      </c>
      <c r="BJ321" s="99">
        <f t="shared" si="665"/>
        <v>3</v>
      </c>
      <c r="BK321" s="99">
        <f t="shared" si="666"/>
        <v>3</v>
      </c>
    </row>
    <row r="322" spans="4:63" ht="15.75" thickBot="1" x14ac:dyDescent="0.3">
      <c r="D322" s="229"/>
      <c r="E322" s="199" t="s">
        <v>407</v>
      </c>
      <c r="F322" s="787">
        <v>1</v>
      </c>
      <c r="G322" s="787"/>
      <c r="H322" s="788"/>
      <c r="BH322" s="1184" t="s">
        <v>986</v>
      </c>
      <c r="BI322" s="258">
        <f t="shared" si="664"/>
        <v>3</v>
      </c>
      <c r="BJ322" s="258">
        <f t="shared" si="665"/>
        <v>3</v>
      </c>
      <c r="BK322" s="258">
        <f t="shared" si="666"/>
        <v>3</v>
      </c>
    </row>
    <row r="323" spans="4:63" x14ac:dyDescent="0.25">
      <c r="D323" s="163"/>
      <c r="E323" s="661" t="s">
        <v>416</v>
      </c>
      <c r="F323" s="783"/>
      <c r="G323" s="783"/>
      <c r="H323" s="784"/>
      <c r="BH323" s="681" t="s">
        <v>791</v>
      </c>
      <c r="BI323" s="96">
        <f t="shared" si="664"/>
        <v>3</v>
      </c>
      <c r="BJ323" s="96">
        <f t="shared" si="665"/>
        <v>3</v>
      </c>
      <c r="BK323" s="96">
        <f t="shared" si="666"/>
        <v>3</v>
      </c>
    </row>
    <row r="324" spans="4:63" ht="15.75" thickBot="1" x14ac:dyDescent="0.3">
      <c r="D324" s="166"/>
      <c r="E324" s="657" t="s">
        <v>416</v>
      </c>
      <c r="F324" s="785"/>
      <c r="G324" s="785"/>
      <c r="H324" s="786"/>
      <c r="BH324" s="1184" t="s">
        <v>792</v>
      </c>
      <c r="BI324" s="258">
        <f t="shared" si="664"/>
        <v>9</v>
      </c>
      <c r="BJ324" s="258">
        <f t="shared" si="665"/>
        <v>9</v>
      </c>
      <c r="BK324" s="258">
        <f t="shared" si="666"/>
        <v>9</v>
      </c>
    </row>
    <row r="325" spans="4:63" ht="15.75" thickBot="1" x14ac:dyDescent="0.3">
      <c r="D325" s="166"/>
      <c r="E325" s="657" t="s">
        <v>416</v>
      </c>
      <c r="F325" s="785"/>
      <c r="G325" s="785"/>
      <c r="H325" s="786"/>
      <c r="BH325" s="1185" t="s">
        <v>987</v>
      </c>
      <c r="BI325" s="1065">
        <f t="shared" si="664"/>
        <v>3</v>
      </c>
      <c r="BJ325" s="1065">
        <f t="shared" si="665"/>
        <v>3</v>
      </c>
      <c r="BK325" s="1065">
        <f t="shared" si="666"/>
        <v>3</v>
      </c>
    </row>
    <row r="326" spans="4:63" ht="15.75" thickBot="1" x14ac:dyDescent="0.3">
      <c r="D326" s="166"/>
      <c r="E326" s="167" t="str">
        <f>AIS_NA</f>
        <v>N/A</v>
      </c>
      <c r="F326" s="785">
        <v>1</v>
      </c>
      <c r="G326" s="785"/>
      <c r="H326" s="786"/>
      <c r="BH326" s="1184" t="s">
        <v>798</v>
      </c>
      <c r="BI326" s="258">
        <f t="shared" si="664"/>
        <v>2</v>
      </c>
      <c r="BJ326" s="258">
        <f t="shared" si="665"/>
        <v>2</v>
      </c>
      <c r="BK326" s="258">
        <f t="shared" si="666"/>
        <v>2</v>
      </c>
    </row>
    <row r="327" spans="4:63" ht="15.75" thickBot="1" x14ac:dyDescent="0.3">
      <c r="D327" s="229"/>
      <c r="E327" s="199" t="s">
        <v>13</v>
      </c>
      <c r="F327" s="787">
        <v>1</v>
      </c>
      <c r="G327" s="787"/>
      <c r="H327" s="788"/>
      <c r="BH327" s="1184" t="s">
        <v>804</v>
      </c>
      <c r="BI327" s="258">
        <f t="shared" si="664"/>
        <v>4</v>
      </c>
      <c r="BJ327" s="258">
        <f t="shared" si="665"/>
        <v>4</v>
      </c>
      <c r="BK327" s="258">
        <f t="shared" si="666"/>
        <v>4</v>
      </c>
    </row>
    <row r="328" spans="4:63" ht="15.75" thickBot="1" x14ac:dyDescent="0.3">
      <c r="BH328" s="1184" t="s">
        <v>809</v>
      </c>
      <c r="BI328" s="258">
        <f t="shared" si="664"/>
        <v>3</v>
      </c>
      <c r="BJ328" s="258">
        <f t="shared" si="665"/>
        <v>3</v>
      </c>
      <c r="BK328" s="258">
        <f t="shared" si="666"/>
        <v>3</v>
      </c>
    </row>
    <row r="336" spans="4:63" x14ac:dyDescent="0.25">
      <c r="E336" s="137" t="s">
        <v>575</v>
      </c>
    </row>
    <row r="338" spans="5:71" x14ac:dyDescent="0.25">
      <c r="E338" s="96" t="s">
        <v>542</v>
      </c>
    </row>
    <row r="339" spans="5:71" x14ac:dyDescent="0.25">
      <c r="E339" s="96" t="s">
        <v>539</v>
      </c>
    </row>
    <row r="340" spans="5:71" x14ac:dyDescent="0.25">
      <c r="E340" s="96" t="s">
        <v>546</v>
      </c>
    </row>
    <row r="341" spans="5:71" x14ac:dyDescent="0.25">
      <c r="E341" s="96" t="s">
        <v>540</v>
      </c>
    </row>
    <row r="342" spans="5:71" x14ac:dyDescent="0.25">
      <c r="E342" s="96" t="s">
        <v>556</v>
      </c>
      <c r="BP342" s="96" t="s">
        <v>975</v>
      </c>
      <c r="BR342" s="96" t="s">
        <v>976</v>
      </c>
      <c r="BS342" s="96" t="str">
        <f>ADPT</f>
        <v>New Construction (fully fitted)</v>
      </c>
    </row>
    <row r="343" spans="5:71" x14ac:dyDescent="0.25">
      <c r="E343" s="96" t="s">
        <v>558</v>
      </c>
      <c r="BO343" s="1133"/>
      <c r="BP343" s="1133" t="s">
        <v>971</v>
      </c>
      <c r="BQ343" s="1133" t="s">
        <v>972</v>
      </c>
      <c r="BR343" s="1133" t="s">
        <v>973</v>
      </c>
      <c r="BS343" s="1133" t="s">
        <v>974</v>
      </c>
    </row>
    <row r="344" spans="5:71" x14ac:dyDescent="0.25">
      <c r="E344" s="96" t="s">
        <v>559</v>
      </c>
      <c r="BO344" s="49" t="s">
        <v>970</v>
      </c>
      <c r="BP344" s="1132">
        <v>0.13</v>
      </c>
      <c r="BQ344" s="1132">
        <v>0.13</v>
      </c>
      <c r="BR344" s="1132">
        <v>0.13</v>
      </c>
      <c r="BS344" s="1134">
        <f>IF($BS$342='Assessment Details'!$Q$12,Poeng!BQ344,IF(Poeng!$BS$342=ADPT02,Poeng!BR344,Poeng!BP344))</f>
        <v>0.13</v>
      </c>
    </row>
    <row r="345" spans="5:71" x14ac:dyDescent="0.25">
      <c r="E345" s="96" t="s">
        <v>568</v>
      </c>
      <c r="BO345" s="49" t="s">
        <v>61</v>
      </c>
      <c r="BP345" s="1132">
        <v>0.16</v>
      </c>
      <c r="BQ345" s="1132">
        <v>0.09</v>
      </c>
      <c r="BR345" s="1132">
        <v>0.08</v>
      </c>
      <c r="BS345" s="1134">
        <f>IF($BS$342='Assessment Details'!$Q$12,Poeng!BQ345,IF(Poeng!$BS$342=ADPT02,Poeng!BR345,Poeng!BP345))</f>
        <v>0.16</v>
      </c>
    </row>
    <row r="346" spans="5:71" x14ac:dyDescent="0.25">
      <c r="E346" s="96" t="s">
        <v>569</v>
      </c>
      <c r="BO346" s="49" t="s">
        <v>64</v>
      </c>
      <c r="BP346" s="1132">
        <v>0.14000000000000001</v>
      </c>
      <c r="BQ346" s="1132">
        <v>0.12</v>
      </c>
      <c r="BR346" s="1132">
        <v>7.0000000000000007E-2</v>
      </c>
      <c r="BS346" s="1134">
        <f>IF($BS$342='Assessment Details'!$Q$12,Poeng!BQ346,IF(Poeng!$BS$342=ADPT02,Poeng!BR346,Poeng!BP346))</f>
        <v>0.14000000000000001</v>
      </c>
    </row>
    <row r="347" spans="5:71" x14ac:dyDescent="0.25">
      <c r="E347" s="96" t="s">
        <v>570</v>
      </c>
      <c r="BO347" s="49" t="s">
        <v>65</v>
      </c>
      <c r="BP347" s="1132">
        <v>0.1</v>
      </c>
      <c r="BQ347" s="1132">
        <v>0.12</v>
      </c>
      <c r="BR347" s="1132">
        <v>0.15</v>
      </c>
      <c r="BS347" s="1134">
        <f>IF($BS$342='Assessment Details'!$Q$12,Poeng!BQ347,IF(Poeng!$BS$342=ADPT02,Poeng!BR347,Poeng!BP347))</f>
        <v>0.1</v>
      </c>
    </row>
    <row r="348" spans="5:71" x14ac:dyDescent="0.25">
      <c r="E348" s="96" t="s">
        <v>563</v>
      </c>
      <c r="BO348" s="49" t="s">
        <v>66</v>
      </c>
      <c r="BP348" s="1132">
        <v>0.04</v>
      </c>
      <c r="BQ348" s="1132">
        <v>0.04</v>
      </c>
      <c r="BR348" s="1132">
        <v>0.01</v>
      </c>
      <c r="BS348" s="1134">
        <f>IF($BS$342='Assessment Details'!$Q$12,Poeng!BQ348,IF(Poeng!$BS$342=ADPT02,Poeng!BR348,Poeng!BP348))</f>
        <v>0.04</v>
      </c>
    </row>
    <row r="349" spans="5:71" x14ac:dyDescent="0.25">
      <c r="E349" s="96" t="s">
        <v>1064</v>
      </c>
      <c r="BO349" s="49" t="s">
        <v>58</v>
      </c>
      <c r="BP349" s="1132">
        <v>0.17</v>
      </c>
      <c r="BQ349" s="1132">
        <v>0.2</v>
      </c>
      <c r="BR349" s="1132">
        <v>0.24</v>
      </c>
      <c r="BS349" s="1134">
        <f>IF($BS$342='Assessment Details'!$Q$12,Poeng!BQ349,IF(Poeng!$BS$342=ADPT02,Poeng!BR349,Poeng!BP349))</f>
        <v>0.17</v>
      </c>
    </row>
    <row r="350" spans="5:71" x14ac:dyDescent="0.25">
      <c r="BO350" s="49" t="s">
        <v>67</v>
      </c>
      <c r="BP350" s="1132">
        <v>7.0000000000000007E-2</v>
      </c>
      <c r="BQ350" s="1132">
        <v>0.08</v>
      </c>
      <c r="BR350" s="1132">
        <v>0.09</v>
      </c>
      <c r="BS350" s="1134">
        <f>IF($BS$342='Assessment Details'!$Q$12,Poeng!BQ350,IF(Poeng!$BS$342=ADPT02,Poeng!BR350,Poeng!BP350))</f>
        <v>7.0000000000000007E-2</v>
      </c>
    </row>
    <row r="351" spans="5:71" x14ac:dyDescent="0.25">
      <c r="BO351" s="49" t="s">
        <v>68</v>
      </c>
      <c r="BP351" s="1132">
        <v>0.15</v>
      </c>
      <c r="BQ351" s="1132">
        <v>0.17</v>
      </c>
      <c r="BR351" s="1132">
        <v>0.21</v>
      </c>
      <c r="BS351" s="1134">
        <f>IF($BS$342='Assessment Details'!$Q$12,Poeng!BQ351,IF(Poeng!$BS$342=ADPT02,Poeng!BR351,Poeng!BP351))</f>
        <v>0.15</v>
      </c>
    </row>
    <row r="352" spans="5:71" x14ac:dyDescent="0.25">
      <c r="BO352" s="49" t="s">
        <v>69</v>
      </c>
      <c r="BP352" s="1132">
        <v>0.04</v>
      </c>
      <c r="BQ352" s="1132">
        <v>0.05</v>
      </c>
      <c r="BR352" s="1132">
        <v>0.02</v>
      </c>
      <c r="BS352" s="1134">
        <f>IF($BS$342='Assessment Details'!$Q$12,Poeng!BQ352,IF(Poeng!$BS$342=ADPT02,Poeng!BR352,Poeng!BP352))</f>
        <v>0.04</v>
      </c>
    </row>
    <row r="353" spans="9:71" x14ac:dyDescent="0.25">
      <c r="BO353" s="49" t="s">
        <v>70</v>
      </c>
      <c r="BP353" s="1132">
        <v>0.1</v>
      </c>
      <c r="BQ353" s="1132">
        <v>0.1</v>
      </c>
      <c r="BR353" s="1132">
        <v>0.1</v>
      </c>
      <c r="BS353" s="1134">
        <f>IF($BS$342='Assessment Details'!$Q$12,Poeng!BQ353,IF(Poeng!$BS$342=ADPT02,Poeng!BR353,Poeng!BP353))</f>
        <v>0.1</v>
      </c>
    </row>
    <row r="354" spans="9:71" x14ac:dyDescent="0.25">
      <c r="BO354" s="49" t="s">
        <v>71</v>
      </c>
      <c r="BP354" s="1132">
        <v>0.1</v>
      </c>
      <c r="BQ354" s="1132">
        <v>0.1</v>
      </c>
      <c r="BR354" s="1132">
        <v>0.1</v>
      </c>
      <c r="BS354" s="1134">
        <f>IF($BS$342='Assessment Details'!$Q$12,Poeng!BQ354,IF(Poeng!$BS$342=ADPT02,Poeng!BR354,Poeng!BP354))</f>
        <v>0.1</v>
      </c>
    </row>
    <row r="355" spans="9:71" x14ac:dyDescent="0.25">
      <c r="BO355" s="1043"/>
      <c r="BP355" s="1043"/>
      <c r="BQ355" s="1043"/>
      <c r="BR355" s="1043"/>
      <c r="BS355" s="1043"/>
    </row>
    <row r="356" spans="9:71" x14ac:dyDescent="0.25">
      <c r="BO356" s="1043"/>
      <c r="BP356" s="1043"/>
      <c r="BQ356" s="1043"/>
      <c r="BR356" s="1043"/>
      <c r="BS356" s="1043"/>
    </row>
    <row r="357" spans="9:71" x14ac:dyDescent="0.25">
      <c r="BO357" s="1043"/>
      <c r="BP357" s="1043"/>
      <c r="BQ357" s="1043"/>
      <c r="BR357" s="1043"/>
      <c r="BS357" s="1043"/>
    </row>
    <row r="361" spans="9:71" x14ac:dyDescent="0.25">
      <c r="I361" s="981" t="s">
        <v>381</v>
      </c>
    </row>
    <row r="362" spans="9:71" x14ac:dyDescent="0.25">
      <c r="I362" s="981" t="s">
        <v>898</v>
      </c>
    </row>
    <row r="363" spans="9:71" x14ac:dyDescent="0.25">
      <c r="I363" s="981" t="s">
        <v>381</v>
      </c>
    </row>
    <row r="364" spans="9:71" x14ac:dyDescent="0.25">
      <c r="I364" s="981" t="s">
        <v>899</v>
      </c>
    </row>
    <row r="365" spans="9:71" x14ac:dyDescent="0.25">
      <c r="I365" s="981" t="s">
        <v>859</v>
      </c>
    </row>
    <row r="366" spans="9:71" x14ac:dyDescent="0.25">
      <c r="I366" s="981" t="s">
        <v>900</v>
      </c>
    </row>
    <row r="367" spans="9:71" x14ac:dyDescent="0.25">
      <c r="I367" s="981" t="s">
        <v>901</v>
      </c>
    </row>
    <row r="368" spans="9:71" x14ac:dyDescent="0.25">
      <c r="I368" s="981" t="s">
        <v>902</v>
      </c>
    </row>
    <row r="369" spans="9:9" x14ac:dyDescent="0.25">
      <c r="I369" s="981" t="s">
        <v>903</v>
      </c>
    </row>
    <row r="370" spans="9:9" x14ac:dyDescent="0.25">
      <c r="I370" s="981" t="s">
        <v>904</v>
      </c>
    </row>
    <row r="371" spans="9:9" x14ac:dyDescent="0.25">
      <c r="I371" s="981" t="s">
        <v>387</v>
      </c>
    </row>
    <row r="372" spans="9:9" x14ac:dyDescent="0.25">
      <c r="I372" s="981" t="s">
        <v>905</v>
      </c>
    </row>
    <row r="373" spans="9:9" x14ac:dyDescent="0.25">
      <c r="I373" s="981" t="s">
        <v>906</v>
      </c>
    </row>
  </sheetData>
  <sheetProtection algorithmName="SHA-512" hashValue="FDngMSMREnvvNjvnG+5cLRoyGrV4LqIREC+bGO7EAc07VM6eSbpraK79ClVff/EOwCFaILsw0cZxdpgWY5W4cA==" saltValue="aF+d/kNojOLq1LkUM6mnIQ==" spinCount="100000" sheet="1" selectLockedCells="1"/>
  <autoFilter ref="A8:CL279" xr:uid="{00000000-0001-0000-0300-00000000000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20" showButton="0"/>
    <filterColumn colId="21" showButton="0"/>
    <filterColumn colId="22" showButton="0"/>
    <filterColumn colId="23" showButton="0"/>
    <filterColumn colId="24" showButton="0"/>
    <filterColumn colId="38" showButton="0"/>
    <filterColumn colId="39" showButton="0"/>
    <filterColumn colId="40" showButton="0"/>
    <filterColumn colId="41" showButton="0"/>
    <filterColumn colId="44" showButton="0"/>
    <filterColumn colId="45" showButton="0"/>
    <filterColumn colId="46" showButton="0"/>
    <filterColumn colId="47" showButton="0"/>
    <filterColumn colId="50" showButton="0"/>
    <filterColumn colId="51"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6" showButton="0"/>
    <filterColumn colId="67" showButton="0"/>
  </autoFilter>
  <sortState xmlns:xlrd2="http://schemas.microsoft.com/office/spreadsheetml/2017/richdata2" ref="E312:F395">
    <sortCondition ref="F312:F395"/>
  </sortState>
  <mergeCells count="14">
    <mergeCell ref="AX261:BC261"/>
    <mergeCell ref="AE7:AG7"/>
    <mergeCell ref="AX262:BC262"/>
    <mergeCell ref="AX263:BC263"/>
    <mergeCell ref="F8:R8"/>
    <mergeCell ref="U8:Z8"/>
    <mergeCell ref="AM8:AQ8"/>
    <mergeCell ref="AS8:AW8"/>
    <mergeCell ref="AY8:BC8"/>
    <mergeCell ref="BO8:BQ8"/>
    <mergeCell ref="BJ8:BL8"/>
    <mergeCell ref="BD8:BF8"/>
    <mergeCell ref="BG8:BI8"/>
    <mergeCell ref="AX260:BC260"/>
  </mergeCells>
  <phoneticPr fontId="52"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N306"/>
  <sheetViews>
    <sheetView zoomScaleNormal="100" workbookViewId="0">
      <selection activeCell="H9" sqref="H9:I9"/>
    </sheetView>
  </sheetViews>
  <sheetFormatPr defaultColWidth="9.140625" defaultRowHeight="15" x14ac:dyDescent="0.25"/>
  <cols>
    <col min="1" max="1" width="3" style="420" customWidth="1"/>
    <col min="2" max="2" width="23.28515625" style="420" customWidth="1"/>
    <col min="3" max="3" width="11" style="420" customWidth="1"/>
    <col min="4" max="4" width="9.7109375" style="420" customWidth="1"/>
    <col min="5" max="5" width="11.28515625" style="420" customWidth="1"/>
    <col min="6" max="6" width="10.28515625" style="420" customWidth="1"/>
    <col min="7" max="7" width="10.85546875" style="420" customWidth="1"/>
    <col min="8" max="8" width="12.140625" style="420" customWidth="1"/>
    <col min="9" max="9" width="12.28515625" style="420" customWidth="1"/>
    <col min="10" max="10" width="13" style="420" customWidth="1"/>
    <col min="11" max="11" width="16.5703125" style="420" customWidth="1"/>
    <col min="12" max="12" width="13.28515625" style="420" customWidth="1"/>
    <col min="13" max="13" width="15" style="420" customWidth="1"/>
    <col min="14" max="14" width="13.5703125" style="420" customWidth="1"/>
    <col min="15" max="15" width="13.140625" style="420" customWidth="1"/>
    <col min="16" max="16" width="8" style="420" customWidth="1"/>
    <col min="17" max="17" width="16.5703125" style="420" customWidth="1"/>
    <col min="18" max="19" width="9.140625" style="420" customWidth="1"/>
    <col min="20" max="32" width="9.140625" style="420" hidden="1" customWidth="1"/>
    <col min="33" max="42" width="9.140625" style="420" customWidth="1"/>
    <col min="43" max="16384" width="9.140625" style="420"/>
  </cols>
  <sheetData>
    <row r="1" spans="1:40" x14ac:dyDescent="0.25">
      <c r="A1" s="419"/>
      <c r="B1" s="419"/>
      <c r="C1" s="419"/>
      <c r="D1" s="419"/>
      <c r="E1" s="419"/>
      <c r="F1" s="419"/>
      <c r="G1" s="419"/>
      <c r="H1" s="419"/>
      <c r="I1" s="419"/>
      <c r="J1" s="419"/>
      <c r="K1" s="419"/>
      <c r="L1" s="419"/>
      <c r="M1" s="419"/>
      <c r="N1" s="419"/>
      <c r="O1" s="419"/>
      <c r="P1" s="419"/>
      <c r="Q1" s="419"/>
      <c r="R1" s="419"/>
      <c r="S1" s="419"/>
    </row>
    <row r="2" spans="1:40" ht="42" customHeight="1" x14ac:dyDescent="0.25">
      <c r="A2" s="419"/>
      <c r="B2" s="726" t="s">
        <v>968</v>
      </c>
      <c r="C2" s="421"/>
      <c r="D2" s="421"/>
      <c r="E2" s="421"/>
      <c r="F2" s="421"/>
      <c r="G2" s="421"/>
      <c r="H2" s="422"/>
      <c r="I2" s="422"/>
      <c r="J2" s="422"/>
      <c r="K2" s="422"/>
      <c r="L2" s="423"/>
      <c r="M2" s="422"/>
      <c r="N2" s="632" t="str">
        <f>IF('Manuell filtrering og justering'!I2='Manuell filtrering og justering'!J2,"Bespoke","")</f>
        <v/>
      </c>
      <c r="O2" s="632" t="str">
        <f>IF('Manuell filtrering og justering'!J2='Manuell filtrering og justering'!K2,"Bespoke","")</f>
        <v/>
      </c>
      <c r="P2" s="423"/>
      <c r="Q2" s="419"/>
      <c r="R2" s="419"/>
      <c r="S2" s="419"/>
    </row>
    <row r="3" spans="1:40" ht="15" customHeight="1" x14ac:dyDescent="0.25">
      <c r="A3" s="419"/>
      <c r="B3" s="424"/>
      <c r="C3" s="419"/>
      <c r="D3" s="419"/>
      <c r="E3" s="419"/>
      <c r="F3" s="419"/>
      <c r="G3" s="419"/>
      <c r="H3" s="419"/>
      <c r="I3" s="419"/>
      <c r="J3" s="419"/>
      <c r="K3" s="419"/>
      <c r="L3" s="419"/>
      <c r="M3" s="419"/>
      <c r="N3" s="425"/>
      <c r="O3" s="419"/>
      <c r="P3" s="419"/>
      <c r="Q3" s="419"/>
      <c r="R3" s="419"/>
      <c r="S3" s="419"/>
    </row>
    <row r="4" spans="1:40" ht="18.75" x14ac:dyDescent="0.3">
      <c r="A4" s="419"/>
      <c r="B4" s="426" t="s">
        <v>59</v>
      </c>
      <c r="C4" s="427"/>
      <c r="D4" s="428"/>
      <c r="E4" s="428"/>
      <c r="F4" s="428"/>
      <c r="G4" s="428"/>
      <c r="H4" s="428"/>
      <c r="I4" s="428"/>
      <c r="J4" s="428"/>
      <c r="K4" s="428"/>
      <c r="L4" s="428"/>
      <c r="M4" s="428"/>
      <c r="N4" s="428"/>
      <c r="O4" s="428"/>
      <c r="P4" s="428"/>
      <c r="Q4" s="419"/>
      <c r="R4" s="419"/>
      <c r="S4" s="419"/>
    </row>
    <row r="5" spans="1:40" x14ac:dyDescent="0.25">
      <c r="A5" s="419"/>
      <c r="B5" s="419"/>
      <c r="C5" s="419"/>
      <c r="D5" s="419"/>
      <c r="E5" s="419"/>
      <c r="F5" s="419"/>
      <c r="G5" s="419"/>
      <c r="H5" s="419"/>
      <c r="I5" s="419"/>
      <c r="J5" s="419"/>
      <c r="K5" s="419"/>
      <c r="L5" s="419"/>
      <c r="M5" s="419"/>
      <c r="N5" s="419"/>
      <c r="O5" s="419"/>
      <c r="P5" s="419"/>
      <c r="Q5" s="419"/>
      <c r="R5" s="419"/>
      <c r="S5" s="419"/>
    </row>
    <row r="6" spans="1:40" ht="15.75" x14ac:dyDescent="0.25">
      <c r="A6" s="419"/>
      <c r="B6" s="429"/>
      <c r="C6" s="430" t="s">
        <v>21</v>
      </c>
      <c r="D6" s="431" t="str">
        <f>IF(ADBN="","",ADBN)</f>
        <v/>
      </c>
      <c r="E6" s="432"/>
      <c r="F6" s="432"/>
      <c r="G6" s="432"/>
      <c r="H6" s="432"/>
      <c r="I6" s="433"/>
      <c r="J6" s="439"/>
      <c r="K6" s="434"/>
      <c r="L6" s="435"/>
      <c r="M6" s="434" t="str">
        <f>"Pre-Assessment Estimator Version: "&amp;TVC_current_version&amp;". Date: "</f>
        <v xml:space="preserve">Pre-Assessment Estimator Version: 1.7. Date: </v>
      </c>
      <c r="N6" s="436">
        <f>TVC_current_date</f>
        <v>45327</v>
      </c>
      <c r="O6" s="419"/>
      <c r="P6" s="419"/>
      <c r="Q6" s="419"/>
      <c r="R6" s="419"/>
      <c r="S6" s="419"/>
    </row>
    <row r="7" spans="1:40" x14ac:dyDescent="0.25">
      <c r="A7" s="419"/>
      <c r="B7" s="439"/>
      <c r="C7" s="439"/>
      <c r="D7" s="439"/>
      <c r="E7" s="439"/>
      <c r="F7" s="439"/>
      <c r="G7" s="439"/>
      <c r="H7" s="439"/>
      <c r="I7" s="439"/>
      <c r="J7" s="439"/>
      <c r="K7" s="439"/>
      <c r="L7" s="419"/>
      <c r="M7" s="419"/>
      <c r="N7" s="419"/>
      <c r="O7" s="419"/>
      <c r="P7" s="419"/>
      <c r="Q7" s="419"/>
      <c r="R7" s="419"/>
      <c r="S7" s="419"/>
    </row>
    <row r="8" spans="1:40" ht="15.75" x14ac:dyDescent="0.25">
      <c r="A8" s="419"/>
      <c r="B8" s="437"/>
      <c r="C8" s="438"/>
      <c r="D8" s="1378" t="s">
        <v>215</v>
      </c>
      <c r="E8" s="1379"/>
      <c r="F8" s="1370" t="s">
        <v>283</v>
      </c>
      <c r="G8" s="1371"/>
      <c r="H8" s="1370" t="s">
        <v>284</v>
      </c>
      <c r="I8" s="1371"/>
      <c r="J8" s="439"/>
      <c r="K8" s="439"/>
      <c r="L8" s="419"/>
      <c r="M8" s="419"/>
      <c r="N8" s="419"/>
      <c r="O8" s="419"/>
      <c r="P8" s="419"/>
      <c r="Q8" s="419"/>
      <c r="R8" s="419"/>
      <c r="S8" s="419"/>
    </row>
    <row r="9" spans="1:40" ht="15.75" x14ac:dyDescent="0.25">
      <c r="A9" s="439"/>
      <c r="B9" s="440"/>
      <c r="C9" s="441" t="s">
        <v>300</v>
      </c>
      <c r="D9" s="1389" t="s">
        <v>12</v>
      </c>
      <c r="E9" s="1389"/>
      <c r="F9" s="1389" t="s">
        <v>13</v>
      </c>
      <c r="G9" s="1389"/>
      <c r="H9" s="1389" t="s">
        <v>13</v>
      </c>
      <c r="I9" s="1389"/>
      <c r="J9" s="439"/>
      <c r="K9" s="439"/>
      <c r="L9" s="439"/>
      <c r="M9" s="439"/>
      <c r="N9" s="439"/>
      <c r="O9" s="439"/>
      <c r="P9" s="439"/>
      <c r="Q9" s="439"/>
      <c r="Z9" s="442"/>
      <c r="AA9" s="442"/>
      <c r="AB9" s="442"/>
      <c r="AC9" s="442"/>
      <c r="AD9" s="442"/>
      <c r="AE9" s="442"/>
      <c r="AF9" s="442"/>
      <c r="AG9" s="442"/>
      <c r="AH9" s="442"/>
      <c r="AI9" s="442"/>
      <c r="AJ9" s="442"/>
      <c r="AK9" s="442"/>
      <c r="AL9" s="442"/>
      <c r="AM9" s="442"/>
      <c r="AN9" s="442"/>
    </row>
    <row r="10" spans="1:40" ht="15.75" x14ac:dyDescent="0.25">
      <c r="A10" s="419"/>
      <c r="B10" s="443"/>
      <c r="C10" s="444" t="s">
        <v>312</v>
      </c>
      <c r="D10" s="1380" t="str">
        <f>BP_BREEAMRating</f>
        <v>Unclassified</v>
      </c>
      <c r="E10" s="1381"/>
      <c r="F10" s="1372" t="str">
        <f>Poeng!BH265</f>
        <v>Unclassified</v>
      </c>
      <c r="G10" s="1373"/>
      <c r="H10" s="1372" t="str">
        <f>Poeng!BK265</f>
        <v>Unclassified</v>
      </c>
      <c r="I10" s="1373"/>
      <c r="J10" s="439"/>
      <c r="K10" s="439" t="str">
        <f>IF(OR(Poeng!BF265=1,Poeng!BI265=1,Poeng!BL265=1),Poeng!AX270,"")</f>
        <v/>
      </c>
      <c r="L10" s="439"/>
      <c r="M10" s="439"/>
      <c r="N10" s="439"/>
      <c r="O10" s="439"/>
      <c r="P10" s="439"/>
      <c r="Q10" s="439"/>
      <c r="Z10" s="1388"/>
      <c r="AA10" s="1388"/>
      <c r="AB10" s="1388"/>
      <c r="AC10" s="1388"/>
      <c r="AD10" s="1388"/>
      <c r="AE10" s="1388"/>
      <c r="AF10" s="1388"/>
      <c r="AG10" s="1388"/>
      <c r="AH10" s="1388"/>
      <c r="AI10" s="1388"/>
      <c r="AJ10" s="1388"/>
      <c r="AK10" s="1388"/>
      <c r="AL10" s="1388"/>
      <c r="AM10" s="1388"/>
      <c r="AN10" s="1388"/>
    </row>
    <row r="11" spans="1:40" ht="18" customHeight="1" x14ac:dyDescent="0.25">
      <c r="A11" s="419"/>
      <c r="B11" s="445"/>
      <c r="C11" s="446" t="s">
        <v>84</v>
      </c>
      <c r="D11" s="1382">
        <f>Score_Initial</f>
        <v>0</v>
      </c>
      <c r="E11" s="1383"/>
      <c r="F11" s="1374">
        <f>Poeng!BG263</f>
        <v>0</v>
      </c>
      <c r="G11" s="1375"/>
      <c r="H11" s="1374">
        <f>Poeng!BJ263</f>
        <v>0</v>
      </c>
      <c r="I11" s="1375"/>
      <c r="J11" s="439"/>
      <c r="K11" s="439"/>
      <c r="L11" s="439"/>
      <c r="M11" s="439"/>
      <c r="N11" s="439"/>
      <c r="O11" s="439"/>
      <c r="P11" s="439"/>
      <c r="Q11" s="439"/>
      <c r="Z11" s="1388"/>
      <c r="AA11" s="1388"/>
      <c r="AB11" s="1388"/>
      <c r="AC11" s="1388"/>
      <c r="AD11" s="1388"/>
      <c r="AE11" s="1388"/>
      <c r="AF11" s="1388"/>
      <c r="AG11" s="1388"/>
      <c r="AH11" s="1388"/>
      <c r="AI11" s="1388"/>
      <c r="AJ11" s="1388"/>
      <c r="AK11" s="1388"/>
      <c r="AL11" s="1388"/>
      <c r="AM11" s="1388"/>
      <c r="AN11" s="1388"/>
    </row>
    <row r="12" spans="1:40" ht="18" customHeight="1" x14ac:dyDescent="0.25">
      <c r="A12" s="419"/>
      <c r="B12" s="1141"/>
      <c r="C12" s="1142" t="s">
        <v>79</v>
      </c>
      <c r="D12" s="1382" t="str">
        <f>Poeng!BE259</f>
        <v>Unclassified &lt;30%</v>
      </c>
      <c r="E12" s="1383"/>
      <c r="F12" s="1374" t="str">
        <f>Poeng!BH259</f>
        <v>Unclassified &lt;30%</v>
      </c>
      <c r="G12" s="1375"/>
      <c r="H12" s="1374" t="str">
        <f>Poeng!BK259</f>
        <v>Unclassified &lt;30%</v>
      </c>
      <c r="I12" s="1375"/>
      <c r="J12" s="439"/>
      <c r="K12" s="439"/>
      <c r="L12" s="439"/>
      <c r="M12" s="439"/>
      <c r="N12" s="439"/>
      <c r="O12" s="439"/>
      <c r="P12" s="439"/>
      <c r="Q12" s="439"/>
      <c r="Z12" s="1388"/>
      <c r="AA12" s="1388"/>
      <c r="AB12" s="1388"/>
      <c r="AC12" s="1388"/>
      <c r="AD12" s="1388"/>
      <c r="AE12" s="1388"/>
      <c r="AF12" s="1388"/>
      <c r="AG12" s="1388"/>
      <c r="AH12" s="1388"/>
      <c r="AI12" s="1388"/>
      <c r="AJ12" s="1388"/>
      <c r="AK12" s="1388"/>
      <c r="AL12" s="1388"/>
      <c r="AM12" s="1388"/>
      <c r="AN12" s="1388"/>
    </row>
    <row r="13" spans="1:40" ht="15.75" x14ac:dyDescent="0.25">
      <c r="A13" s="419"/>
      <c r="B13" s="447"/>
      <c r="C13" s="1153" t="str">
        <f>'Pre-Assessment Estimator'!G7</f>
        <v xml:space="preserve">Requirements for EU taxonomy </v>
      </c>
      <c r="D13" s="1384" t="str">
        <f>Poeng!BR259</f>
        <v>No</v>
      </c>
      <c r="E13" s="1385"/>
      <c r="F13" s="1376" t="str">
        <f>Poeng!BS259</f>
        <v>No</v>
      </c>
      <c r="G13" s="1377"/>
      <c r="H13" s="1376" t="str">
        <f>Poeng!BT259</f>
        <v>No</v>
      </c>
      <c r="I13" s="1377"/>
      <c r="J13" s="439"/>
      <c r="K13" s="439"/>
      <c r="L13" s="439"/>
      <c r="M13" s="439"/>
      <c r="N13" s="439"/>
      <c r="O13" s="439"/>
      <c r="P13" s="439"/>
      <c r="Q13" s="439"/>
      <c r="Z13" s="1388"/>
      <c r="AA13" s="1388"/>
      <c r="AB13" s="1388"/>
      <c r="AC13" s="1388"/>
      <c r="AD13" s="1388"/>
      <c r="AE13" s="1388"/>
      <c r="AF13" s="1388"/>
      <c r="AG13" s="1388"/>
      <c r="AH13" s="1388"/>
      <c r="AI13" s="1388"/>
      <c r="AJ13" s="1388"/>
      <c r="AK13" s="1388"/>
      <c r="AL13" s="1388"/>
      <c r="AM13" s="1388"/>
      <c r="AN13" s="1388"/>
    </row>
    <row r="14" spans="1:40" ht="42" customHeight="1" x14ac:dyDescent="0.3">
      <c r="A14" s="419"/>
      <c r="B14" s="426" t="s">
        <v>60</v>
      </c>
      <c r="C14" s="427"/>
      <c r="D14" s="428"/>
      <c r="E14" s="428"/>
      <c r="F14" s="428"/>
      <c r="G14" s="428"/>
      <c r="H14" s="428"/>
      <c r="I14" s="426" t="s">
        <v>79</v>
      </c>
      <c r="J14" s="428"/>
      <c r="K14" s="428"/>
      <c r="L14" s="724"/>
      <c r="M14" s="428"/>
      <c r="N14" s="428"/>
      <c r="O14" s="499"/>
      <c r="P14" s="499"/>
      <c r="Q14" s="419"/>
      <c r="R14" s="419"/>
      <c r="S14" s="419"/>
    </row>
    <row r="15" spans="1:40" ht="15" customHeight="1" x14ac:dyDescent="0.25">
      <c r="A15" s="419"/>
      <c r="B15" s="448"/>
      <c r="C15" s="448"/>
      <c r="D15" s="448"/>
      <c r="E15" s="448"/>
      <c r="F15" s="448"/>
      <c r="G15" s="448"/>
      <c r="H15" s="448"/>
      <c r="I15" s="448"/>
      <c r="J15" s="448"/>
      <c r="K15" s="439"/>
      <c r="L15" s="419"/>
      <c r="M15" s="419"/>
      <c r="N15" s="419"/>
      <c r="O15" s="419"/>
      <c r="P15" s="419"/>
      <c r="Q15" s="419"/>
      <c r="R15" s="419"/>
      <c r="S15" s="419"/>
    </row>
    <row r="16" spans="1:40" ht="15" customHeight="1" x14ac:dyDescent="0.25">
      <c r="A16" s="419"/>
      <c r="B16" s="449"/>
      <c r="C16" s="449"/>
      <c r="D16" s="449"/>
      <c r="E16" s="449"/>
      <c r="F16" s="449"/>
      <c r="G16" s="449"/>
      <c r="H16" s="449"/>
      <c r="I16" s="449"/>
      <c r="J16" s="449"/>
      <c r="K16" s="439"/>
      <c r="L16" s="419"/>
      <c r="M16" s="419"/>
      <c r="N16" s="419"/>
      <c r="O16" s="419"/>
      <c r="P16" s="419"/>
      <c r="Q16" s="419"/>
      <c r="R16" s="419"/>
      <c r="S16" s="419"/>
    </row>
    <row r="17" spans="1:32" ht="15" customHeight="1" x14ac:dyDescent="0.25">
      <c r="A17" s="419"/>
      <c r="B17" s="449"/>
      <c r="C17" s="449"/>
      <c r="D17" s="449"/>
      <c r="E17" s="449"/>
      <c r="F17" s="449"/>
      <c r="G17" s="449"/>
      <c r="H17" s="449"/>
      <c r="I17" s="449"/>
      <c r="J17" s="449"/>
      <c r="K17" s="439"/>
      <c r="L17" s="419"/>
      <c r="M17" s="419"/>
      <c r="N17" s="419"/>
      <c r="O17" s="419"/>
      <c r="P17" s="419"/>
      <c r="Q17" s="419"/>
      <c r="R17" s="419"/>
      <c r="S17" s="419"/>
    </row>
    <row r="18" spans="1:32" ht="15" customHeight="1" x14ac:dyDescent="0.25">
      <c r="A18" s="419"/>
      <c r="B18" s="449"/>
      <c r="C18" s="449"/>
      <c r="D18" s="449"/>
      <c r="E18" s="449"/>
      <c r="F18" s="449"/>
      <c r="G18" s="449"/>
      <c r="H18" s="449"/>
      <c r="I18" s="449"/>
      <c r="J18" s="449"/>
      <c r="K18" s="439"/>
      <c r="L18" s="419"/>
      <c r="M18" s="419"/>
      <c r="N18" s="419"/>
      <c r="O18" s="419"/>
      <c r="P18" s="439"/>
      <c r="Q18" s="419"/>
      <c r="R18" s="419"/>
      <c r="S18" s="419"/>
    </row>
    <row r="19" spans="1:32" ht="15" customHeight="1" x14ac:dyDescent="0.25">
      <c r="A19" s="419"/>
      <c r="B19" s="449"/>
      <c r="C19" s="449"/>
      <c r="D19" s="449"/>
      <c r="E19" s="449"/>
      <c r="F19" s="449"/>
      <c r="G19" s="449"/>
      <c r="H19" s="449"/>
      <c r="I19" s="449"/>
      <c r="J19" s="449"/>
      <c r="K19" s="439"/>
      <c r="L19" s="419"/>
      <c r="M19" s="419"/>
      <c r="N19" s="419"/>
      <c r="O19" s="419"/>
      <c r="P19" s="439"/>
      <c r="Q19" s="419"/>
      <c r="R19" s="419"/>
      <c r="S19" s="419"/>
    </row>
    <row r="20" spans="1:32" ht="15" customHeight="1" x14ac:dyDescent="0.25">
      <c r="A20" s="419"/>
      <c r="B20" s="449"/>
      <c r="C20" s="449"/>
      <c r="D20" s="449"/>
      <c r="E20" s="449"/>
      <c r="F20" s="449"/>
      <c r="G20" s="449"/>
      <c r="H20" s="449"/>
      <c r="I20" s="449"/>
      <c r="J20" s="449"/>
      <c r="K20" s="439"/>
      <c r="L20" s="419"/>
      <c r="M20" s="419"/>
      <c r="N20" s="419"/>
      <c r="O20" s="419"/>
      <c r="P20" s="439"/>
      <c r="Q20" s="419"/>
      <c r="R20" s="419"/>
      <c r="S20" s="419"/>
    </row>
    <row r="21" spans="1:32" ht="15" customHeight="1" thickBot="1" x14ac:dyDescent="0.3">
      <c r="A21" s="419"/>
      <c r="B21" s="449"/>
      <c r="C21" s="449"/>
      <c r="D21" s="449"/>
      <c r="E21" s="449"/>
      <c r="F21" s="449"/>
      <c r="G21" s="449"/>
      <c r="H21" s="449"/>
      <c r="I21" s="449"/>
      <c r="J21" s="449"/>
      <c r="K21" s="439"/>
      <c r="L21" s="419"/>
      <c r="M21" s="419"/>
      <c r="N21" s="419"/>
      <c r="O21" s="419"/>
      <c r="P21" s="439"/>
      <c r="Q21" s="419"/>
      <c r="R21" s="419"/>
      <c r="S21" s="419"/>
    </row>
    <row r="22" spans="1:32" ht="15" customHeight="1" x14ac:dyDescent="0.25">
      <c r="A22" s="419"/>
      <c r="B22" s="449"/>
      <c r="C22" s="449"/>
      <c r="D22" s="449"/>
      <c r="E22" s="449"/>
      <c r="F22" s="449"/>
      <c r="G22" s="449"/>
      <c r="H22" s="449"/>
      <c r="I22" s="449"/>
      <c r="J22" s="449"/>
      <c r="K22" s="439"/>
      <c r="L22" s="419"/>
      <c r="M22" s="419"/>
      <c r="N22" s="419"/>
      <c r="O22" s="419"/>
      <c r="P22" s="439"/>
      <c r="Q22" s="419"/>
      <c r="R22" s="419"/>
      <c r="S22" s="419"/>
      <c r="AB22" s="450"/>
      <c r="AC22" s="451" t="s">
        <v>212</v>
      </c>
      <c r="AD22" s="451" t="str">
        <f>D34</f>
        <v>Initial target setting</v>
      </c>
      <c r="AE22" s="451" t="str">
        <f>F34</f>
        <v>Design phase</v>
      </c>
      <c r="AF22" s="452" t="str">
        <f>H34</f>
        <v>Construction phase</v>
      </c>
    </row>
    <row r="23" spans="1:32" ht="15" customHeight="1" x14ac:dyDescent="0.25">
      <c r="A23" s="419"/>
      <c r="B23" s="449"/>
      <c r="C23" s="449"/>
      <c r="D23" s="449"/>
      <c r="E23" s="449"/>
      <c r="F23" s="449"/>
      <c r="G23" s="449"/>
      <c r="H23" s="449"/>
      <c r="I23" s="449"/>
      <c r="J23" s="449"/>
      <c r="K23" s="439"/>
      <c r="L23" s="419"/>
      <c r="M23" s="419"/>
      <c r="N23" s="419"/>
      <c r="O23" s="419"/>
      <c r="P23" s="439"/>
      <c r="Q23" s="419"/>
      <c r="R23" s="419"/>
      <c r="S23" s="419"/>
      <c r="AB23" s="453" t="s">
        <v>203</v>
      </c>
      <c r="AC23" s="454">
        <f>Man_Weight</f>
        <v>0.13</v>
      </c>
      <c r="AD23" s="454">
        <f t="shared" ref="AD23:AD32" si="0">IF(D$9=$AA$36,K36,"")</f>
        <v>0</v>
      </c>
      <c r="AE23" s="454" t="str">
        <f t="shared" ref="AE23:AE32" si="1">IF(F$9=$AA$36,L36,"")</f>
        <v/>
      </c>
      <c r="AF23" s="455" t="str">
        <f t="shared" ref="AF23:AF32" si="2">IF(H$9=$AA$36,M36,"")</f>
        <v/>
      </c>
    </row>
    <row r="24" spans="1:32" ht="15" customHeight="1" x14ac:dyDescent="0.25">
      <c r="A24" s="419"/>
      <c r="B24" s="449"/>
      <c r="C24" s="449"/>
      <c r="D24" s="449"/>
      <c r="E24" s="449"/>
      <c r="F24" s="449"/>
      <c r="G24" s="449"/>
      <c r="H24" s="449"/>
      <c r="I24" s="449"/>
      <c r="J24" s="449"/>
      <c r="K24" s="439"/>
      <c r="L24" s="419"/>
      <c r="M24" s="419"/>
      <c r="N24" s="419"/>
      <c r="O24" s="419"/>
      <c r="P24" s="419"/>
      <c r="Q24" s="419"/>
      <c r="R24" s="419"/>
      <c r="S24" s="419"/>
      <c r="AB24" s="453" t="s">
        <v>125</v>
      </c>
      <c r="AC24" s="454">
        <f>J37</f>
        <v>0.16</v>
      </c>
      <c r="AD24" s="454">
        <f t="shared" si="0"/>
        <v>0</v>
      </c>
      <c r="AE24" s="454" t="str">
        <f t="shared" si="1"/>
        <v/>
      </c>
      <c r="AF24" s="455" t="str">
        <f t="shared" si="2"/>
        <v/>
      </c>
    </row>
    <row r="25" spans="1:32" ht="15" customHeight="1" x14ac:dyDescent="0.25">
      <c r="A25" s="419"/>
      <c r="B25" s="449"/>
      <c r="C25" s="449"/>
      <c r="D25" s="449"/>
      <c r="E25" s="449"/>
      <c r="F25" s="449"/>
      <c r="G25" s="449"/>
      <c r="H25" s="449"/>
      <c r="I25" s="449"/>
      <c r="J25" s="449"/>
      <c r="K25" s="439"/>
      <c r="L25" s="419"/>
      <c r="M25" s="419"/>
      <c r="N25" s="419"/>
      <c r="O25" s="419"/>
      <c r="P25" s="419"/>
      <c r="Q25" s="419"/>
      <c r="R25" s="419"/>
      <c r="S25" s="419"/>
      <c r="AB25" s="453" t="s">
        <v>204</v>
      </c>
      <c r="AC25" s="454">
        <f>Ene_Weight</f>
        <v>0.14000000000000001</v>
      </c>
      <c r="AD25" s="454">
        <f t="shared" si="0"/>
        <v>0</v>
      </c>
      <c r="AE25" s="454" t="str">
        <f t="shared" si="1"/>
        <v/>
      </c>
      <c r="AF25" s="455" t="str">
        <f t="shared" si="2"/>
        <v/>
      </c>
    </row>
    <row r="26" spans="1:32" ht="15" customHeight="1" x14ac:dyDescent="0.25">
      <c r="A26" s="419"/>
      <c r="B26" s="449"/>
      <c r="C26" s="449"/>
      <c r="D26" s="449"/>
      <c r="E26" s="449"/>
      <c r="F26" s="449"/>
      <c r="G26" s="449"/>
      <c r="H26" s="449"/>
      <c r="I26" s="449"/>
      <c r="J26" s="449"/>
      <c r="K26" s="439"/>
      <c r="L26" s="419"/>
      <c r="M26" s="419"/>
      <c r="N26" s="419"/>
      <c r="O26" s="419"/>
      <c r="P26" s="419"/>
      <c r="Q26" s="419"/>
      <c r="R26" s="419"/>
      <c r="S26" s="419"/>
      <c r="AB26" s="453" t="s">
        <v>205</v>
      </c>
      <c r="AC26" s="454">
        <f>Tra_Weight</f>
        <v>0.1</v>
      </c>
      <c r="AD26" s="454">
        <f t="shared" si="0"/>
        <v>0</v>
      </c>
      <c r="AE26" s="454" t="str">
        <f t="shared" si="1"/>
        <v/>
      </c>
      <c r="AF26" s="455" t="str">
        <f t="shared" si="2"/>
        <v/>
      </c>
    </row>
    <row r="27" spans="1:32" ht="15" customHeight="1" x14ac:dyDescent="0.25">
      <c r="A27" s="419"/>
      <c r="B27" s="449"/>
      <c r="C27" s="449"/>
      <c r="D27" s="449"/>
      <c r="E27" s="449"/>
      <c r="F27" s="449"/>
      <c r="G27" s="449"/>
      <c r="H27" s="449"/>
      <c r="I27" s="449"/>
      <c r="J27" s="449"/>
      <c r="K27" s="439"/>
      <c r="L27" s="419"/>
      <c r="M27" s="419"/>
      <c r="N27" s="419"/>
      <c r="O27" s="419"/>
      <c r="P27" s="419"/>
      <c r="Q27" s="419"/>
      <c r="R27" s="419"/>
      <c r="S27" s="419"/>
      <c r="AB27" s="453" t="s">
        <v>206</v>
      </c>
      <c r="AC27" s="454">
        <f>Wat_Weight</f>
        <v>0.04</v>
      </c>
      <c r="AD27" s="454">
        <f t="shared" si="0"/>
        <v>0</v>
      </c>
      <c r="AE27" s="454" t="str">
        <f t="shared" si="1"/>
        <v/>
      </c>
      <c r="AF27" s="455" t="str">
        <f t="shared" si="2"/>
        <v/>
      </c>
    </row>
    <row r="28" spans="1:32" ht="15" customHeight="1" x14ac:dyDescent="0.25">
      <c r="A28" s="419"/>
      <c r="B28" s="449"/>
      <c r="C28" s="449"/>
      <c r="D28" s="449"/>
      <c r="E28" s="449"/>
      <c r="F28" s="449"/>
      <c r="G28" s="449"/>
      <c r="H28" s="449"/>
      <c r="I28" s="449"/>
      <c r="J28" s="449"/>
      <c r="K28" s="439"/>
      <c r="L28" s="419"/>
      <c r="M28" s="419"/>
      <c r="N28" s="419"/>
      <c r="O28" s="419"/>
      <c r="P28" s="419"/>
      <c r="Q28" s="419"/>
      <c r="R28" s="419"/>
      <c r="S28" s="419"/>
      <c r="AB28" s="453" t="s">
        <v>207</v>
      </c>
      <c r="AC28" s="454">
        <f>Mat_Weight</f>
        <v>0.17</v>
      </c>
      <c r="AD28" s="454">
        <f t="shared" si="0"/>
        <v>0</v>
      </c>
      <c r="AE28" s="454" t="str">
        <f t="shared" si="1"/>
        <v/>
      </c>
      <c r="AF28" s="455" t="str">
        <f t="shared" si="2"/>
        <v/>
      </c>
    </row>
    <row r="29" spans="1:32" ht="15" customHeight="1" x14ac:dyDescent="0.25">
      <c r="A29" s="419"/>
      <c r="B29" s="449"/>
      <c r="C29" s="449"/>
      <c r="D29" s="449"/>
      <c r="E29" s="449"/>
      <c r="F29" s="449"/>
      <c r="G29" s="449"/>
      <c r="H29" s="449"/>
      <c r="I29" s="449"/>
      <c r="J29" s="449"/>
      <c r="K29" s="439"/>
      <c r="L29" s="419"/>
      <c r="M29" s="419"/>
      <c r="N29" s="419"/>
      <c r="O29" s="419"/>
      <c r="P29" s="419"/>
      <c r="Q29" s="419"/>
      <c r="R29" s="419"/>
      <c r="S29" s="419"/>
      <c r="AB29" s="453" t="s">
        <v>208</v>
      </c>
      <c r="AC29" s="454">
        <f>Wst_Weight</f>
        <v>7.0000000000000007E-2</v>
      </c>
      <c r="AD29" s="454">
        <f t="shared" si="0"/>
        <v>0</v>
      </c>
      <c r="AE29" s="454" t="str">
        <f t="shared" si="1"/>
        <v/>
      </c>
      <c r="AF29" s="455" t="str">
        <f t="shared" si="2"/>
        <v/>
      </c>
    </row>
    <row r="30" spans="1:32" ht="15" customHeight="1" x14ac:dyDescent="0.25">
      <c r="A30" s="419"/>
      <c r="B30" s="449"/>
      <c r="C30" s="449"/>
      <c r="D30" s="449"/>
      <c r="E30" s="449"/>
      <c r="F30" s="449"/>
      <c r="G30" s="449"/>
      <c r="H30" s="449"/>
      <c r="I30" s="449"/>
      <c r="J30" s="449"/>
      <c r="K30" s="439"/>
      <c r="L30" s="419"/>
      <c r="M30" s="419"/>
      <c r="N30" s="419"/>
      <c r="O30" s="419"/>
      <c r="P30" s="419"/>
      <c r="Q30" s="419"/>
      <c r="R30" s="419"/>
      <c r="S30" s="419"/>
      <c r="AB30" s="453" t="s">
        <v>209</v>
      </c>
      <c r="AC30" s="454">
        <f>LE_Weight</f>
        <v>0.15</v>
      </c>
      <c r="AD30" s="454">
        <f t="shared" si="0"/>
        <v>0</v>
      </c>
      <c r="AE30" s="454" t="str">
        <f t="shared" si="1"/>
        <v/>
      </c>
      <c r="AF30" s="455" t="str">
        <f t="shared" si="2"/>
        <v/>
      </c>
    </row>
    <row r="31" spans="1:32" ht="15" customHeight="1" x14ac:dyDescent="0.25">
      <c r="A31" s="419"/>
      <c r="B31" s="449"/>
      <c r="C31" s="449"/>
      <c r="D31" s="449"/>
      <c r="E31" s="449"/>
      <c r="F31" s="449"/>
      <c r="G31" s="449"/>
      <c r="H31" s="449"/>
      <c r="I31" s="449"/>
      <c r="J31" s="449"/>
      <c r="K31" s="439"/>
      <c r="L31" s="419"/>
      <c r="M31" s="419"/>
      <c r="N31" s="419"/>
      <c r="O31" s="419"/>
      <c r="P31" s="419"/>
      <c r="Q31" s="419"/>
      <c r="R31" s="419"/>
      <c r="S31" s="419"/>
      <c r="AB31" s="453" t="s">
        <v>210</v>
      </c>
      <c r="AC31" s="454">
        <f>J44</f>
        <v>0.04</v>
      </c>
      <c r="AD31" s="454">
        <f t="shared" si="0"/>
        <v>0</v>
      </c>
      <c r="AE31" s="454" t="str">
        <f t="shared" si="1"/>
        <v/>
      </c>
      <c r="AF31" s="455" t="str">
        <f t="shared" si="2"/>
        <v/>
      </c>
    </row>
    <row r="32" spans="1:32" ht="15" customHeight="1" thickBot="1" x14ac:dyDescent="0.3">
      <c r="A32" s="419"/>
      <c r="B32" s="449"/>
      <c r="C32" s="449"/>
      <c r="D32" s="449"/>
      <c r="E32" s="449"/>
      <c r="F32" s="449"/>
      <c r="G32" s="449"/>
      <c r="H32" s="449"/>
      <c r="I32" s="449"/>
      <c r="J32" s="449"/>
      <c r="K32" s="439"/>
      <c r="L32" s="419"/>
      <c r="M32" s="419"/>
      <c r="N32" s="419"/>
      <c r="O32" s="419"/>
      <c r="P32" s="419"/>
      <c r="Q32" s="419"/>
      <c r="R32" s="419"/>
      <c r="S32" s="419"/>
      <c r="AB32" s="456" t="s">
        <v>211</v>
      </c>
      <c r="AC32" s="457">
        <f>J45</f>
        <v>0.1</v>
      </c>
      <c r="AD32" s="457">
        <f t="shared" si="0"/>
        <v>0</v>
      </c>
      <c r="AE32" s="457" t="str">
        <f t="shared" si="1"/>
        <v/>
      </c>
      <c r="AF32" s="458" t="str">
        <f t="shared" si="2"/>
        <v/>
      </c>
    </row>
    <row r="33" spans="1:32" ht="15" customHeight="1" x14ac:dyDescent="0.25">
      <c r="A33" s="419"/>
      <c r="B33" s="449"/>
      <c r="C33" s="449"/>
      <c r="D33" s="449"/>
      <c r="E33" s="449"/>
      <c r="F33" s="449"/>
      <c r="G33" s="449"/>
      <c r="H33" s="449"/>
      <c r="I33" s="449"/>
      <c r="J33" s="449"/>
      <c r="K33" s="439"/>
      <c r="L33" s="419"/>
      <c r="M33" s="419"/>
      <c r="N33" s="419"/>
      <c r="O33" s="419"/>
      <c r="P33" s="419"/>
      <c r="Q33" s="419"/>
      <c r="R33" s="419"/>
      <c r="S33" s="419"/>
    </row>
    <row r="34" spans="1:32" ht="15.75" x14ac:dyDescent="0.25">
      <c r="A34" s="419"/>
      <c r="B34" s="1262"/>
      <c r="C34" s="439"/>
      <c r="D34" s="1386" t="s">
        <v>215</v>
      </c>
      <c r="E34" s="1387"/>
      <c r="F34" s="1386" t="s">
        <v>283</v>
      </c>
      <c r="G34" s="1387"/>
      <c r="H34" s="1386" t="s">
        <v>284</v>
      </c>
      <c r="I34" s="1387"/>
      <c r="J34" s="459" t="s">
        <v>202</v>
      </c>
      <c r="K34" s="1386" t="s">
        <v>285</v>
      </c>
      <c r="L34" s="1390"/>
      <c r="M34" s="1387"/>
      <c r="N34" s="439"/>
      <c r="O34" s="439"/>
      <c r="P34" s="439"/>
      <c r="Q34" s="439"/>
    </row>
    <row r="35" spans="1:32" ht="32.25" thickBot="1" x14ac:dyDescent="0.3">
      <c r="A35" s="419"/>
      <c r="B35" s="460" t="s">
        <v>73</v>
      </c>
      <c r="C35" s="461" t="s">
        <v>63</v>
      </c>
      <c r="D35" s="462" t="s">
        <v>201</v>
      </c>
      <c r="E35" s="463" t="s">
        <v>62</v>
      </c>
      <c r="F35" s="461" t="s">
        <v>201</v>
      </c>
      <c r="G35" s="461" t="s">
        <v>62</v>
      </c>
      <c r="H35" s="462" t="s">
        <v>201</v>
      </c>
      <c r="I35" s="463" t="s">
        <v>62</v>
      </c>
      <c r="J35" s="464"/>
      <c r="K35" s="462" t="s">
        <v>215</v>
      </c>
      <c r="L35" s="465" t="s">
        <v>283</v>
      </c>
      <c r="M35" s="463" t="s">
        <v>284</v>
      </c>
      <c r="N35" s="439"/>
      <c r="O35" s="439"/>
      <c r="P35" s="439"/>
      <c r="Q35" s="439"/>
    </row>
    <row r="36" spans="1:32" ht="15.75" customHeight="1" x14ac:dyDescent="0.25">
      <c r="A36" s="419"/>
      <c r="B36" s="466" t="s">
        <v>61</v>
      </c>
      <c r="C36" s="467">
        <f>Man_Credits</f>
        <v>21</v>
      </c>
      <c r="D36" s="468">
        <f>Man_tot_user</f>
        <v>0</v>
      </c>
      <c r="E36" s="469">
        <f>BP_11/BP_01</f>
        <v>0</v>
      </c>
      <c r="F36" s="468">
        <f>Man_d_user</f>
        <v>0</v>
      </c>
      <c r="G36" s="470">
        <f>F36/C36</f>
        <v>0</v>
      </c>
      <c r="H36" s="468">
        <f>Man_c_user</f>
        <v>0</v>
      </c>
      <c r="I36" s="469">
        <f>H36/C36</f>
        <v>0</v>
      </c>
      <c r="J36" s="1137">
        <f>Poeng!BS344</f>
        <v>0.13</v>
      </c>
      <c r="K36" s="1135">
        <f>BP_22*J36</f>
        <v>0</v>
      </c>
      <c r="L36" s="797">
        <f>G36*J36</f>
        <v>0</v>
      </c>
      <c r="M36" s="798">
        <f>I36*J36</f>
        <v>0</v>
      </c>
      <c r="N36" s="439"/>
      <c r="O36" s="439"/>
      <c r="P36" s="439"/>
      <c r="Q36" s="439"/>
      <c r="AA36" s="471" t="s">
        <v>12</v>
      </c>
      <c r="AB36" s="451" t="str">
        <f>Poeng!BQ295</f>
        <v>Navn</v>
      </c>
      <c r="AC36" s="451" t="str">
        <f>AD22</f>
        <v>Initial target setting</v>
      </c>
      <c r="AD36" s="451" t="str">
        <f>AE22</f>
        <v>Design phase</v>
      </c>
      <c r="AE36" s="472" t="str">
        <f>AF22</f>
        <v>Construction phase</v>
      </c>
    </row>
    <row r="37" spans="1:32" ht="16.5" thickBot="1" x14ac:dyDescent="0.3">
      <c r="A37" s="419"/>
      <c r="B37" s="473" t="s">
        <v>64</v>
      </c>
      <c r="C37" s="474">
        <f>Hea_Credits</f>
        <v>19</v>
      </c>
      <c r="D37" s="475">
        <f>HW_tot_user</f>
        <v>0</v>
      </c>
      <c r="E37" s="476">
        <f>BP_12/BP_02</f>
        <v>0</v>
      </c>
      <c r="F37" s="475">
        <f>HW_d_user</f>
        <v>0</v>
      </c>
      <c r="G37" s="470">
        <f t="shared" ref="G37:G45" si="3">F37/C37</f>
        <v>0</v>
      </c>
      <c r="H37" s="475">
        <f>HW_c_user</f>
        <v>0</v>
      </c>
      <c r="I37" s="469">
        <f t="shared" ref="I37:I45" si="4">H37/C37</f>
        <v>0</v>
      </c>
      <c r="J37" s="1138">
        <f>Poeng!BS345</f>
        <v>0.16</v>
      </c>
      <c r="K37" s="482">
        <f>BP_23*J37</f>
        <v>0</v>
      </c>
      <c r="L37" s="797">
        <f t="shared" ref="L37:L45" si="5">G37*J37</f>
        <v>0</v>
      </c>
      <c r="M37" s="799">
        <f t="shared" ref="M37:M45" si="6">I37*J37</f>
        <v>0</v>
      </c>
      <c r="N37" s="439"/>
      <c r="O37" s="439"/>
      <c r="P37" s="439"/>
      <c r="Q37" s="439"/>
      <c r="AA37" s="477" t="s">
        <v>13</v>
      </c>
      <c r="AB37" s="478" t="str">
        <f>Poeng!BQ296</f>
        <v>Man 01</v>
      </c>
      <c r="AC37" s="479">
        <f>IF(D$9=$AA$36,Poeng!BR296,"")</f>
        <v>3</v>
      </c>
      <c r="AD37" s="479" t="str">
        <f>IF(F$9=$AA$36,Poeng!BS296,"")</f>
        <v/>
      </c>
      <c r="AE37" s="480" t="str">
        <f>IF(H$9=$AA$36,Poeng!BT296,"")</f>
        <v/>
      </c>
    </row>
    <row r="38" spans="1:32" s="481" customFormat="1" ht="15.75" x14ac:dyDescent="0.25">
      <c r="A38" s="419"/>
      <c r="B38" s="473" t="s">
        <v>65</v>
      </c>
      <c r="C38" s="474">
        <f>Ene_Credits</f>
        <v>27</v>
      </c>
      <c r="D38" s="475">
        <f>Ene_tot_user</f>
        <v>0</v>
      </c>
      <c r="E38" s="476">
        <f>BP_13/BP_03</f>
        <v>0</v>
      </c>
      <c r="F38" s="475">
        <f>Ene_d_user</f>
        <v>0</v>
      </c>
      <c r="G38" s="470">
        <f t="shared" si="3"/>
        <v>0</v>
      </c>
      <c r="H38" s="475">
        <f>Ene_c_user</f>
        <v>0</v>
      </c>
      <c r="I38" s="469">
        <f t="shared" si="4"/>
        <v>0</v>
      </c>
      <c r="J38" s="1138">
        <f>Poeng!BS346</f>
        <v>0.14000000000000001</v>
      </c>
      <c r="K38" s="482">
        <f>BP_24*J38</f>
        <v>0</v>
      </c>
      <c r="L38" s="797">
        <f t="shared" si="5"/>
        <v>0</v>
      </c>
      <c r="M38" s="799">
        <f t="shared" si="6"/>
        <v>0</v>
      </c>
      <c r="N38" s="1263"/>
      <c r="O38" s="1263"/>
      <c r="P38" s="1263"/>
      <c r="Q38" s="1263"/>
      <c r="AA38" s="420"/>
      <c r="AB38" s="478" t="str">
        <f>Poeng!BQ297</f>
        <v>Man 03</v>
      </c>
      <c r="AC38" s="479">
        <f>IF(D$9=$AA$36,Poeng!BR297,"")</f>
        <v>0</v>
      </c>
      <c r="AD38" s="479" t="str">
        <f>IF(F$9=$AA$36,Poeng!BS297,"")</f>
        <v/>
      </c>
      <c r="AE38" s="480" t="str">
        <f>IF(H$9=$AA$36,Poeng!BT297,"")</f>
        <v/>
      </c>
    </row>
    <row r="39" spans="1:32" s="481" customFormat="1" ht="15.75" x14ac:dyDescent="0.25">
      <c r="A39" s="419"/>
      <c r="B39" s="473" t="s">
        <v>66</v>
      </c>
      <c r="C39" s="474">
        <f>Tra_Credits</f>
        <v>13</v>
      </c>
      <c r="D39" s="475">
        <f>Tra_tot_user</f>
        <v>0</v>
      </c>
      <c r="E39" s="476">
        <f>BP_14/BP_04</f>
        <v>0</v>
      </c>
      <c r="F39" s="475">
        <f>Tra_d_user</f>
        <v>0</v>
      </c>
      <c r="G39" s="470">
        <f t="shared" si="3"/>
        <v>0</v>
      </c>
      <c r="H39" s="475">
        <f>Tra_c_user</f>
        <v>0</v>
      </c>
      <c r="I39" s="469">
        <f t="shared" si="4"/>
        <v>0</v>
      </c>
      <c r="J39" s="1138">
        <f>Poeng!BS347</f>
        <v>0.1</v>
      </c>
      <c r="K39" s="482">
        <f>BP_25*J39</f>
        <v>0</v>
      </c>
      <c r="L39" s="797">
        <f t="shared" si="5"/>
        <v>0</v>
      </c>
      <c r="M39" s="799">
        <f t="shared" si="6"/>
        <v>0</v>
      </c>
      <c r="N39" s="1263"/>
      <c r="O39" s="1263"/>
      <c r="P39" s="1263"/>
      <c r="Q39" s="1263"/>
      <c r="AA39" s="420"/>
      <c r="AB39" s="478" t="str">
        <f>Poeng!BQ298</f>
        <v>Man 04</v>
      </c>
      <c r="AC39" s="479">
        <f>IF(D$9=$AA$36,Poeng!BR298,"")</f>
        <v>0</v>
      </c>
      <c r="AD39" s="479" t="str">
        <f>IF(F$9=$AA$36,Poeng!BS298,"")</f>
        <v/>
      </c>
      <c r="AE39" s="480" t="str">
        <f>IF(H$9=$AA$36,Poeng!BT298,"")</f>
        <v/>
      </c>
    </row>
    <row r="40" spans="1:32" s="481" customFormat="1" ht="15.75" x14ac:dyDescent="0.25">
      <c r="A40" s="419"/>
      <c r="B40" s="473" t="s">
        <v>58</v>
      </c>
      <c r="C40" s="474">
        <f>Wat_Credits</f>
        <v>9</v>
      </c>
      <c r="D40" s="475">
        <f>Wat_tot_user</f>
        <v>0</v>
      </c>
      <c r="E40" s="476">
        <f>BP_15/BP_05</f>
        <v>0</v>
      </c>
      <c r="F40" s="475">
        <f>Wat_d_user</f>
        <v>0</v>
      </c>
      <c r="G40" s="470">
        <f t="shared" si="3"/>
        <v>0</v>
      </c>
      <c r="H40" s="475">
        <f>Wat_c_user</f>
        <v>0</v>
      </c>
      <c r="I40" s="469">
        <f t="shared" si="4"/>
        <v>0</v>
      </c>
      <c r="J40" s="1138">
        <f>Poeng!BS348</f>
        <v>0.04</v>
      </c>
      <c r="K40" s="482">
        <f>BP_26*J40</f>
        <v>0</v>
      </c>
      <c r="L40" s="797">
        <f t="shared" si="5"/>
        <v>0</v>
      </c>
      <c r="M40" s="799">
        <f t="shared" si="6"/>
        <v>0</v>
      </c>
      <c r="N40" s="1263"/>
      <c r="O40" s="1263"/>
      <c r="P40" s="1263"/>
      <c r="Q40" s="1263"/>
      <c r="AA40" s="420"/>
      <c r="AB40" s="478" t="str">
        <f>Poeng!BQ299</f>
        <v>Man 05</v>
      </c>
      <c r="AC40" s="479">
        <f>IF(D$9=$AA$36,Poeng!BR299,"")</f>
        <v>3</v>
      </c>
      <c r="AD40" s="479" t="str">
        <f>IF(F$9=$AA$36,Poeng!BS299,"")</f>
        <v/>
      </c>
      <c r="AE40" s="480" t="str">
        <f>IF(H$9=$AA$36,Poeng!BT299,"")</f>
        <v/>
      </c>
    </row>
    <row r="41" spans="1:32" s="481" customFormat="1" ht="15.75" x14ac:dyDescent="0.25">
      <c r="A41" s="419"/>
      <c r="B41" s="473" t="s">
        <v>67</v>
      </c>
      <c r="C41" s="474">
        <f>Mat_Credits</f>
        <v>21</v>
      </c>
      <c r="D41" s="475">
        <f>Mat_tot_user</f>
        <v>0</v>
      </c>
      <c r="E41" s="476">
        <f>BP_16/BP_06</f>
        <v>0</v>
      </c>
      <c r="F41" s="475">
        <f>Mat_d_user</f>
        <v>0</v>
      </c>
      <c r="G41" s="470">
        <f t="shared" si="3"/>
        <v>0</v>
      </c>
      <c r="H41" s="475">
        <f>Mat_c_user</f>
        <v>0</v>
      </c>
      <c r="I41" s="469">
        <f t="shared" si="4"/>
        <v>0</v>
      </c>
      <c r="J41" s="1138">
        <f>Poeng!BS349</f>
        <v>0.17</v>
      </c>
      <c r="K41" s="482">
        <f>BP_27*J41</f>
        <v>0</v>
      </c>
      <c r="L41" s="797">
        <f t="shared" si="5"/>
        <v>0</v>
      </c>
      <c r="M41" s="799">
        <f t="shared" si="6"/>
        <v>0</v>
      </c>
      <c r="N41" s="1263"/>
      <c r="O41" s="1263"/>
      <c r="P41" s="1263"/>
      <c r="Q41" s="1263"/>
      <c r="AA41" s="420"/>
      <c r="AB41" s="478" t="str">
        <f>Poeng!BQ300</f>
        <v>Hea 01</v>
      </c>
      <c r="AC41" s="479">
        <f>IF(D$9=$AA$36,Poeng!BR300,"")</f>
        <v>0</v>
      </c>
      <c r="AD41" s="479" t="str">
        <f>IF(F$9=$AA$36,Poeng!BS300,"")</f>
        <v/>
      </c>
      <c r="AE41" s="480" t="str">
        <f>IF(H$9=$AA$36,Poeng!BT300,"")</f>
        <v/>
      </c>
    </row>
    <row r="42" spans="1:32" ht="15.75" x14ac:dyDescent="0.25">
      <c r="A42" s="419"/>
      <c r="B42" s="473" t="s">
        <v>68</v>
      </c>
      <c r="C42" s="474">
        <f>Wst_Credits</f>
        <v>7</v>
      </c>
      <c r="D42" s="475">
        <f>Wst_tot_user</f>
        <v>0</v>
      </c>
      <c r="E42" s="476">
        <f>BP_18/BP_07</f>
        <v>0</v>
      </c>
      <c r="F42" s="475">
        <f>Wst_d_user</f>
        <v>0</v>
      </c>
      <c r="G42" s="470">
        <f t="shared" si="3"/>
        <v>0</v>
      </c>
      <c r="H42" s="475">
        <f>Wst_c_user</f>
        <v>0</v>
      </c>
      <c r="I42" s="469">
        <f t="shared" si="4"/>
        <v>0</v>
      </c>
      <c r="J42" s="1138">
        <f>Poeng!BS350</f>
        <v>7.0000000000000007E-2</v>
      </c>
      <c r="K42" s="482">
        <f>BP_28*J42</f>
        <v>0</v>
      </c>
      <c r="L42" s="797">
        <f t="shared" si="5"/>
        <v>0</v>
      </c>
      <c r="M42" s="799">
        <f t="shared" si="6"/>
        <v>0</v>
      </c>
      <c r="N42" s="439"/>
      <c r="O42" s="439"/>
      <c r="P42" s="439"/>
      <c r="Q42" s="439"/>
      <c r="AB42" s="478" t="str">
        <f>Poeng!BQ301</f>
        <v>Hea 02</v>
      </c>
      <c r="AC42" s="479">
        <f>IF(D$9=$AA$36,Poeng!BR301,"")</f>
        <v>0</v>
      </c>
      <c r="AD42" s="479" t="str">
        <f>IF(F$9=$AA$36,Poeng!BS301,"")</f>
        <v/>
      </c>
      <c r="AE42" s="480" t="str">
        <f>IF(H$9=$AA$36,Poeng!BT301,"")</f>
        <v/>
      </c>
    </row>
    <row r="43" spans="1:32" ht="15.75" x14ac:dyDescent="0.25">
      <c r="A43" s="419"/>
      <c r="B43" s="473" t="s">
        <v>69</v>
      </c>
      <c r="C43" s="474">
        <f>LE_Credits</f>
        <v>19</v>
      </c>
      <c r="D43" s="475">
        <f>Lue_tot_user</f>
        <v>0</v>
      </c>
      <c r="E43" s="476">
        <f>BP_19/BP_08</f>
        <v>0</v>
      </c>
      <c r="F43" s="475">
        <f>Lue_d_user</f>
        <v>0</v>
      </c>
      <c r="G43" s="470">
        <f t="shared" si="3"/>
        <v>0</v>
      </c>
      <c r="H43" s="475">
        <f>Lue_c_user</f>
        <v>0</v>
      </c>
      <c r="I43" s="469">
        <f t="shared" si="4"/>
        <v>0</v>
      </c>
      <c r="J43" s="1138">
        <f>Poeng!BS351</f>
        <v>0.15</v>
      </c>
      <c r="K43" s="482">
        <f>BP_29*J43</f>
        <v>0</v>
      </c>
      <c r="L43" s="797">
        <f t="shared" si="5"/>
        <v>0</v>
      </c>
      <c r="M43" s="799">
        <f t="shared" si="6"/>
        <v>0</v>
      </c>
      <c r="N43" s="439"/>
      <c r="O43" s="439"/>
      <c r="P43" s="439"/>
      <c r="Q43" s="439"/>
      <c r="AB43" s="478" t="str">
        <f>Poeng!BQ302</f>
        <v>Ene 01</v>
      </c>
      <c r="AC43" s="479">
        <f>IF(D$9=$AA$36,Poeng!BR302,"")</f>
        <v>3</v>
      </c>
      <c r="AD43" s="479" t="str">
        <f>IF(F$9=$AA$36,Poeng!BS302,"")</f>
        <v/>
      </c>
      <c r="AE43" s="480" t="str">
        <f>IF(H$9=$AA$36,Poeng!BT302,"")</f>
        <v/>
      </c>
    </row>
    <row r="44" spans="1:32" ht="15.75" customHeight="1" x14ac:dyDescent="0.25">
      <c r="A44" s="419"/>
      <c r="B44" s="473" t="s">
        <v>70</v>
      </c>
      <c r="C44" s="474">
        <f>Pol_Credits</f>
        <v>7</v>
      </c>
      <c r="D44" s="475">
        <f>Pol_tot_user</f>
        <v>0</v>
      </c>
      <c r="E44" s="476">
        <f>BP_20/BP_09</f>
        <v>0</v>
      </c>
      <c r="F44" s="475">
        <f>Pol_d_user</f>
        <v>0</v>
      </c>
      <c r="G44" s="470">
        <f t="shared" si="3"/>
        <v>0</v>
      </c>
      <c r="H44" s="475">
        <f>Pol_c_user</f>
        <v>0</v>
      </c>
      <c r="I44" s="469">
        <f t="shared" si="4"/>
        <v>0</v>
      </c>
      <c r="J44" s="1138">
        <f>Poeng!BS352</f>
        <v>0.04</v>
      </c>
      <c r="K44" s="482">
        <f>BP_30*J44</f>
        <v>0</v>
      </c>
      <c r="L44" s="797">
        <f t="shared" si="5"/>
        <v>0</v>
      </c>
      <c r="M44" s="799">
        <f t="shared" si="6"/>
        <v>0</v>
      </c>
      <c r="N44" s="439"/>
      <c r="O44" s="439"/>
      <c r="P44" s="439"/>
      <c r="Q44" s="439"/>
      <c r="AB44" s="478" t="str">
        <f>IF(AF44=9,"",Poeng!BQ303)</f>
        <v>Ene 07</v>
      </c>
      <c r="AC44" s="479">
        <f>IF(AF44=9,"",IF(D$9=$AA$36,Poeng!BR303,""))</f>
        <v>0</v>
      </c>
      <c r="AD44" s="479" t="str">
        <f>IF(AF44=9,"",IF(F$9=$AA$36,Poeng!BS303,""))</f>
        <v/>
      </c>
      <c r="AE44" s="480" t="str">
        <f>IF(AF44=9,"",IF(H$9=$AA$36,Poeng!BT303,""))</f>
        <v/>
      </c>
      <c r="AF44" s="420">
        <f>Poeng!BR303</f>
        <v>0</v>
      </c>
    </row>
    <row r="45" spans="1:32" ht="15.75" x14ac:dyDescent="0.25">
      <c r="A45" s="419"/>
      <c r="B45" s="473" t="s">
        <v>71</v>
      </c>
      <c r="C45" s="474">
        <f>Inn_Credits</f>
        <v>10</v>
      </c>
      <c r="D45" s="475">
        <f>Inn_tot_user</f>
        <v>0</v>
      </c>
      <c r="E45" s="476">
        <f>BP_21/BP_10</f>
        <v>0</v>
      </c>
      <c r="F45" s="475">
        <f>Inn_d_user</f>
        <v>0</v>
      </c>
      <c r="G45" s="470">
        <f t="shared" si="3"/>
        <v>0</v>
      </c>
      <c r="H45" s="475">
        <f>Inn_c_user</f>
        <v>0</v>
      </c>
      <c r="I45" s="469">
        <f t="shared" si="4"/>
        <v>0</v>
      </c>
      <c r="J45" s="1138">
        <v>0.1</v>
      </c>
      <c r="K45" s="482">
        <f>BP_31*J45</f>
        <v>0</v>
      </c>
      <c r="L45" s="797">
        <f t="shared" si="5"/>
        <v>0</v>
      </c>
      <c r="M45" s="799">
        <f t="shared" si="6"/>
        <v>0</v>
      </c>
      <c r="N45" s="439"/>
      <c r="O45" s="439"/>
      <c r="P45" s="439"/>
      <c r="Q45" s="439"/>
      <c r="AB45" s="478" t="str">
        <f>Poeng!BQ304</f>
        <v>Tra 01</v>
      </c>
      <c r="AC45" s="479">
        <f>IF(D$9=$AA$36,Poeng!BR304,"")</f>
        <v>3</v>
      </c>
      <c r="AD45" s="479" t="str">
        <f>IF(F$9=$AA$36,Poeng!BS304,"")</f>
        <v/>
      </c>
      <c r="AE45" s="480" t="str">
        <f>IF(H$9=$AA$36,Poeng!BT304,"")</f>
        <v/>
      </c>
    </row>
    <row r="46" spans="1:32" ht="15.75" x14ac:dyDescent="0.25">
      <c r="A46" s="419"/>
      <c r="B46" s="483" t="s">
        <v>213</v>
      </c>
      <c r="C46" s="484">
        <f>SUM(C36:C45)</f>
        <v>153</v>
      </c>
      <c r="D46" s="485">
        <f>SUM(D36:D45)</f>
        <v>0</v>
      </c>
      <c r="E46" s="486"/>
      <c r="F46" s="487">
        <f>SUM(F36:F45)</f>
        <v>0</v>
      </c>
      <c r="G46" s="488"/>
      <c r="H46" s="485">
        <f>SUM(H36:H45)</f>
        <v>0</v>
      </c>
      <c r="I46" s="486"/>
      <c r="J46" s="1139">
        <f>SUM(J36:J45)</f>
        <v>1.1000000000000001</v>
      </c>
      <c r="K46" s="1136">
        <f>IF(SUM(K36:K45)&gt;1,1,SUM(K36:K45))</f>
        <v>0</v>
      </c>
      <c r="L46" s="489">
        <f t="shared" ref="L46:M46" si="7">IF(SUM(L36:L45)&gt;1,1,SUM(L36:L45))</f>
        <v>0</v>
      </c>
      <c r="M46" s="490">
        <f t="shared" si="7"/>
        <v>0</v>
      </c>
      <c r="N46" s="439"/>
      <c r="O46" s="439"/>
      <c r="P46" s="439"/>
      <c r="Q46" s="439"/>
      <c r="AB46" s="478" t="str">
        <f>Poeng!BQ305</f>
        <v>Wat 01</v>
      </c>
      <c r="AC46" s="479">
        <f>IF(D$9=$AA$36,Poeng!BR305,"")</f>
        <v>3</v>
      </c>
      <c r="AD46" s="479" t="str">
        <f>IF(F$9=$AA$36,Poeng!BS305,"")</f>
        <v/>
      </c>
      <c r="AE46" s="480" t="str">
        <f>IF(H$9=$AA$36,Poeng!BT305,"")</f>
        <v/>
      </c>
    </row>
    <row r="47" spans="1:32" ht="15.75" x14ac:dyDescent="0.25">
      <c r="A47" s="419"/>
      <c r="B47" s="491" t="s">
        <v>312</v>
      </c>
      <c r="C47" s="492"/>
      <c r="D47" s="492"/>
      <c r="E47" s="492"/>
      <c r="F47" s="492"/>
      <c r="G47" s="492"/>
      <c r="H47" s="492"/>
      <c r="I47" s="492"/>
      <c r="J47" s="1140"/>
      <c r="K47" s="482" t="str">
        <f>D10</f>
        <v>Unclassified</v>
      </c>
      <c r="L47" s="493" t="str">
        <f>F10</f>
        <v>Unclassified</v>
      </c>
      <c r="M47" s="486" t="str">
        <f>H10</f>
        <v>Unclassified</v>
      </c>
      <c r="N47" s="439"/>
      <c r="O47" s="439"/>
      <c r="P47" s="439"/>
      <c r="Q47" s="439"/>
      <c r="AB47" s="478" t="str">
        <f>Poeng!BQ306</f>
        <v>Mat 01</v>
      </c>
      <c r="AC47" s="479">
        <f>IF(D$9=$AA$36,Poeng!BR306,"")</f>
        <v>0</v>
      </c>
      <c r="AD47" s="479" t="str">
        <f>IF(F$9=$AA$36,Poeng!BS306,"")</f>
        <v/>
      </c>
      <c r="AE47" s="480" t="str">
        <f>IF(H$9=$AA$36,Poeng!BT306,"")</f>
        <v/>
      </c>
    </row>
    <row r="48" spans="1:32" ht="15.75" x14ac:dyDescent="0.25">
      <c r="A48" s="1264"/>
      <c r="B48" s="491" t="s">
        <v>79</v>
      </c>
      <c r="C48" s="492"/>
      <c r="D48" s="492"/>
      <c r="E48" s="492"/>
      <c r="F48" s="492"/>
      <c r="G48" s="492"/>
      <c r="H48" s="492"/>
      <c r="I48" s="492"/>
      <c r="J48" s="1140"/>
      <c r="K48" s="482" t="str">
        <f>D12</f>
        <v>Unclassified &lt;30%</v>
      </c>
      <c r="L48" s="493" t="str">
        <f>F12</f>
        <v>Unclassified &lt;30%</v>
      </c>
      <c r="M48" s="486" t="str">
        <f>H12</f>
        <v>Unclassified &lt;30%</v>
      </c>
      <c r="N48" s="494"/>
      <c r="O48" s="495"/>
      <c r="P48" s="496"/>
      <c r="Q48" s="496"/>
      <c r="R48" s="496"/>
      <c r="S48" s="496"/>
      <c r="AB48" s="478" t="str">
        <f>Poeng!BQ307</f>
        <v>Mat 02</v>
      </c>
      <c r="AC48" s="479">
        <f>IF(D$9=$AA$36,Poeng!BR307,"")</f>
        <v>0</v>
      </c>
      <c r="AD48" s="479" t="str">
        <f>IF(F$9=$AA$36,Poeng!BS307,"")</f>
        <v/>
      </c>
      <c r="AE48" s="480" t="str">
        <f>IF(H$9=$AA$36,Poeng!BT307,"")</f>
        <v/>
      </c>
    </row>
    <row r="49" spans="1:33" s="497" customFormat="1" ht="15.75" x14ac:dyDescent="0.25">
      <c r="B49" s="491" t="str">
        <f>C13</f>
        <v xml:space="preserve">Requirements for EU taxonomy </v>
      </c>
      <c r="C49" s="492"/>
      <c r="D49" s="492"/>
      <c r="E49" s="492"/>
      <c r="F49" s="492"/>
      <c r="G49" s="492"/>
      <c r="H49" s="492"/>
      <c r="I49" s="492"/>
      <c r="J49" s="1140"/>
      <c r="K49" s="482" t="str">
        <f>D13</f>
        <v>No</v>
      </c>
      <c r="L49" s="493" t="str">
        <f>F13</f>
        <v>No</v>
      </c>
      <c r="M49" s="486" t="str">
        <f>H13</f>
        <v>No</v>
      </c>
      <c r="O49" s="498"/>
      <c r="P49" s="498"/>
      <c r="Q49" s="498"/>
      <c r="R49" s="498"/>
      <c r="S49" s="498"/>
      <c r="T49" s="498"/>
      <c r="U49" s="498"/>
      <c r="AA49" s="420"/>
      <c r="AB49" s="478" t="str">
        <f>Poeng!BQ308</f>
        <v>Mat 03</v>
      </c>
      <c r="AC49" s="479">
        <f>IF(D$9=$AA$36,Poeng!BR308,"")</f>
        <v>0</v>
      </c>
      <c r="AD49" s="479" t="str">
        <f>IF(F$9=$AA$36,Poeng!BS308,"")</f>
        <v/>
      </c>
      <c r="AE49" s="480" t="str">
        <f>IF(H$9=$AA$36,Poeng!BT308,"")</f>
        <v/>
      </c>
      <c r="AF49" s="420"/>
      <c r="AG49" s="420"/>
    </row>
    <row r="50" spans="1:33" s="497" customFormat="1" x14ac:dyDescent="0.25">
      <c r="B50" s="419"/>
      <c r="C50" s="419"/>
      <c r="D50" s="419"/>
      <c r="E50" s="419"/>
      <c r="F50" s="419"/>
      <c r="G50" s="419"/>
      <c r="H50" s="419"/>
      <c r="I50" s="419"/>
      <c r="J50" s="419"/>
      <c r="K50" s="419"/>
      <c r="L50" s="419"/>
      <c r="M50" s="419"/>
      <c r="AA50" s="420"/>
      <c r="AB50" s="478" t="str">
        <f>Poeng!BQ309</f>
        <v>Mat 05</v>
      </c>
      <c r="AC50" s="479">
        <f>IF(D$9=$AA$36,Poeng!BR309,"")</f>
        <v>3</v>
      </c>
      <c r="AD50" s="479" t="str">
        <f>IF(F$9=$AA$36,Poeng!BS309,"")</f>
        <v/>
      </c>
      <c r="AE50" s="480" t="str">
        <f>IF(H$9=$AA$36,Poeng!BT309,"")</f>
        <v/>
      </c>
      <c r="AF50" s="420"/>
      <c r="AG50" s="420"/>
    </row>
    <row r="51" spans="1:33" s="419" customFormat="1" x14ac:dyDescent="0.25">
      <c r="A51" s="1227"/>
      <c r="B51" s="1227"/>
      <c r="C51" s="1227"/>
      <c r="D51" s="1227"/>
      <c r="E51" s="1227"/>
      <c r="F51" s="1227"/>
      <c r="G51" s="1227"/>
      <c r="H51" s="1227"/>
      <c r="I51" s="1227"/>
      <c r="J51" s="1227"/>
      <c r="K51" s="1227"/>
      <c r="L51" s="1227"/>
      <c r="M51" s="1227"/>
      <c r="N51" s="1227"/>
      <c r="O51" s="1227"/>
      <c r="P51" s="1227"/>
      <c r="Q51" s="1227"/>
      <c r="AA51" s="420"/>
      <c r="AB51" s="478" t="str">
        <f>Poeng!BQ310</f>
        <v>Mat 06</v>
      </c>
      <c r="AC51" s="479">
        <f>IF(D$9=$AA$36,Poeng!BR310,"")</f>
        <v>0</v>
      </c>
      <c r="AD51" s="479" t="str">
        <f>IF(F$9=$AA$36,Poeng!BS310,"")</f>
        <v/>
      </c>
      <c r="AE51" s="480" t="str">
        <f>IF(H$9=$AA$36,Poeng!BT310,"")</f>
        <v/>
      </c>
      <c r="AF51" s="497"/>
      <c r="AG51" s="497"/>
    </row>
    <row r="52" spans="1:33" s="419" customFormat="1" ht="32.25" x14ac:dyDescent="0.3">
      <c r="A52" s="1012"/>
      <c r="B52" s="426" t="s">
        <v>977</v>
      </c>
      <c r="C52" s="427"/>
      <c r="D52" s="428"/>
      <c r="E52" s="428"/>
      <c r="F52" s="428"/>
      <c r="G52" s="428"/>
      <c r="H52" s="428"/>
      <c r="I52" s="428"/>
      <c r="J52" s="462" t="s">
        <v>1066</v>
      </c>
      <c r="K52" s="462" t="s">
        <v>215</v>
      </c>
      <c r="L52" s="465" t="s">
        <v>283</v>
      </c>
      <c r="M52" s="463" t="s">
        <v>284</v>
      </c>
      <c r="N52" s="428"/>
      <c r="O52" s="428"/>
      <c r="P52" s="1227"/>
      <c r="Q52" s="1227"/>
      <c r="AA52" s="500"/>
      <c r="AB52" s="478" t="str">
        <f>Poeng!BQ311</f>
        <v>Mat 07</v>
      </c>
      <c r="AC52" s="479">
        <f>IF(D$9=$AA$36,Poeng!BR311,"")</f>
        <v>3</v>
      </c>
      <c r="AD52" s="479" t="str">
        <f>IF(F$9=$AA$36,Poeng!BS311,"")</f>
        <v/>
      </c>
      <c r="AE52" s="480" t="str">
        <f>IF(H$9=$AA$36,Poeng!BT311,"")</f>
        <v/>
      </c>
      <c r="AF52" s="497"/>
      <c r="AG52" s="497"/>
    </row>
    <row r="53" spans="1:33" s="419" customFormat="1" x14ac:dyDescent="0.25">
      <c r="A53" s="736"/>
      <c r="B53" s="1195" t="s">
        <v>61</v>
      </c>
      <c r="P53" s="1227"/>
      <c r="Q53" s="1227"/>
      <c r="AB53" s="478" t="str">
        <f>Poeng!BQ312</f>
        <v>Wst 01</v>
      </c>
      <c r="AC53" s="479">
        <f>IF(D$9=$AA$36,Poeng!BR312,"")</f>
        <v>2</v>
      </c>
      <c r="AD53" s="479" t="str">
        <f>IF(F$9=$AA$36,Poeng!BS312,"")</f>
        <v/>
      </c>
      <c r="AE53" s="480" t="str">
        <f>IF(H$9=$AA$36,Poeng!BT312,"")</f>
        <v/>
      </c>
    </row>
    <row r="54" spans="1:33" s="419" customFormat="1" x14ac:dyDescent="0.25">
      <c r="A54" s="1274" t="s">
        <v>1144</v>
      </c>
      <c r="B54" s="1265" t="str">
        <f>VLOOKUP(A54,Poeng!$B$8:$BU$257,Poeng!$C$1,FALSE)</f>
        <v>Man 01</v>
      </c>
      <c r="C54" s="1266" t="str">
        <f>Poeng!E256</f>
        <v>EU taxonomy requirements: criterion 3</v>
      </c>
      <c r="D54" s="1267"/>
      <c r="E54" s="1267"/>
      <c r="F54" s="1267"/>
      <c r="G54" s="1267"/>
      <c r="H54" s="1267"/>
      <c r="I54" s="1267"/>
      <c r="J54" s="1268" t="str">
        <f>VLOOKUP(A54,Poeng!$B$10:$BT$259,Poeng!$BQ$1,FALSE)</f>
        <v>Yes</v>
      </c>
      <c r="K54" s="1269">
        <f>VLOOKUP(A54,Poeng!$B$10:$BT$259,Poeng!$AI$1,FALSE)</f>
        <v>0</v>
      </c>
      <c r="L54" s="1269">
        <f>VLOOKUP(A54,Poeng!$B$10:$BT$259,Poeng!$AJ$1,FALSE)</f>
        <v>0</v>
      </c>
      <c r="M54" s="1269">
        <f>VLOOKUP(A54,Poeng!$B$10:$BT$259,Poeng!$AK$1,FALSE)</f>
        <v>0</v>
      </c>
      <c r="O54" s="1227"/>
      <c r="P54" s="1227"/>
      <c r="Q54" s="1227"/>
      <c r="T54" s="419" t="str">
        <f>IFERROR(VLOOKUP(A54,Poeng!$B$8:$BU$255,Poeng!$E$1,FALSE),"")</f>
        <v/>
      </c>
      <c r="AB54" s="478" t="str">
        <f>Poeng!BQ313</f>
        <v>Wst 03</v>
      </c>
      <c r="AC54" s="479">
        <f>IF(D$9=$AA$36,Poeng!BR313,"")</f>
        <v>3</v>
      </c>
      <c r="AD54" s="479" t="str">
        <f>IF(F$9=$AA$36,Poeng!BS313,"")</f>
        <v/>
      </c>
      <c r="AE54" s="480" t="str">
        <f>IF(H$9=$AA$36,Poeng!BT313,"")</f>
        <v/>
      </c>
    </row>
    <row r="55" spans="1:33" x14ac:dyDescent="0.25">
      <c r="A55" s="1274" t="s">
        <v>719</v>
      </c>
      <c r="B55" s="1270" t="str">
        <f>VLOOKUP(A55,Poeng!$B$8:$BU$255,Poeng!$C$1,FALSE)</f>
        <v>Man 03</v>
      </c>
      <c r="C55" s="1266" t="s">
        <v>1152</v>
      </c>
      <c r="D55" s="1267"/>
      <c r="E55" s="1267"/>
      <c r="F55" s="1267"/>
      <c r="G55" s="1267"/>
      <c r="H55" s="1267"/>
      <c r="I55" s="1267"/>
      <c r="J55" s="1268">
        <f>VLOOKUP(A55,Poeng!$B$10:$BT$259,Poeng!$BQ$1,FALSE)</f>
        <v>1</v>
      </c>
      <c r="K55" s="1269">
        <f>VLOOKUP(A55,Poeng!$B$10:$BT$259,Poeng!$AI$1,FALSE)</f>
        <v>0</v>
      </c>
      <c r="L55" s="1269">
        <f>VLOOKUP(A55,Poeng!$B$10:$BT$259,Poeng!$AJ$1,FALSE)</f>
        <v>0</v>
      </c>
      <c r="M55" s="1269">
        <f>VLOOKUP(A55,Poeng!$B$10:$BT$259,Poeng!$AK$1,FALSE)</f>
        <v>0</v>
      </c>
      <c r="N55" s="439"/>
      <c r="O55" s="1227"/>
      <c r="P55" s="1227"/>
      <c r="Q55" s="1271"/>
      <c r="T55" s="419" t="str">
        <f>IFERROR(VLOOKUP(A55,Poeng!$B$8:$BU$255,Poeng!$E$1,FALSE),"")</f>
        <v>Considerate contruction: clean and tidy building process and checklist A1 (EU taxonomy requirement: criterion 5-6)</v>
      </c>
      <c r="AB55" s="478" t="str">
        <f>Poeng!BQ314</f>
        <v>LE 01</v>
      </c>
      <c r="AC55" s="479">
        <f>IF(D$9=$AA$36,Poeng!BR314,"")</f>
        <v>3</v>
      </c>
      <c r="AD55" s="479" t="str">
        <f>IF(F$9=$AA$36,Poeng!BS314,"")</f>
        <v/>
      </c>
      <c r="AE55" s="480" t="str">
        <f>IF(H$9=$AA$36,Poeng!BT314,"")</f>
        <v/>
      </c>
      <c r="AF55" s="419"/>
      <c r="AG55" s="419"/>
    </row>
    <row r="56" spans="1:33" x14ac:dyDescent="0.25">
      <c r="A56" s="1274" t="s">
        <v>720</v>
      </c>
      <c r="B56" s="1270" t="str">
        <f>VLOOKUP(A56,Poeng!$B$8:$BU$255,Poeng!$C$1,FALSE)</f>
        <v>Man 03</v>
      </c>
      <c r="C56" s="1266" t="s">
        <v>1068</v>
      </c>
      <c r="D56" s="1267"/>
      <c r="E56" s="1267"/>
      <c r="F56" s="1267"/>
      <c r="G56" s="1267"/>
      <c r="H56" s="1267"/>
      <c r="I56" s="1267"/>
      <c r="J56" s="1268">
        <f>VLOOKUP(A56,Poeng!$B$10:$BT$259,Poeng!$BQ$1,FALSE)</f>
        <v>1</v>
      </c>
      <c r="K56" s="1269">
        <f>VLOOKUP(A56,Poeng!$B$10:$BT$259,Poeng!$AI$1,FALSE)</f>
        <v>0</v>
      </c>
      <c r="L56" s="1269">
        <f>VLOOKUP(A56,Poeng!$B$10:$BT$259,Poeng!$AJ$1,FALSE)</f>
        <v>0</v>
      </c>
      <c r="M56" s="1269">
        <f>VLOOKUP(A56,Poeng!$B$10:$BT$259,Poeng!$AK$1,FALSE)</f>
        <v>0</v>
      </c>
      <c r="N56" s="439"/>
      <c r="O56" s="1227"/>
      <c r="P56" s="1227"/>
      <c r="Q56" s="1271"/>
      <c r="T56" s="419" t="str">
        <f>IFERROR(VLOOKUP(A56,Poeng!$B$8:$BU$255,Poeng!$E$1,FALSE),"")</f>
        <v>Considerate contruction: INSTA 800 and checklist A1 (EU taxonomy requirement: criterion 7-9)</v>
      </c>
      <c r="AB56" s="478" t="str">
        <f>Poeng!BQ315</f>
        <v>LE 02</v>
      </c>
      <c r="AC56" s="479">
        <f>IF(D$9=$AA$36,Poeng!BR315,"")</f>
        <v>2</v>
      </c>
      <c r="AD56" s="479" t="str">
        <f>IF(F$9=$AA$36,Poeng!BS315,"")</f>
        <v/>
      </c>
      <c r="AE56" s="480" t="str">
        <f>IF(H$9=$AA$36,Poeng!BT315,"")</f>
        <v/>
      </c>
      <c r="AF56" s="419"/>
      <c r="AG56" s="419"/>
    </row>
    <row r="57" spans="1:33" x14ac:dyDescent="0.25">
      <c r="A57" s="1274"/>
      <c r="B57" s="1271"/>
      <c r="C57" s="1271" t="s">
        <v>1067</v>
      </c>
      <c r="D57" s="1271"/>
      <c r="E57" s="1271"/>
      <c r="F57" s="1271"/>
      <c r="G57" s="1271"/>
      <c r="H57" s="1271"/>
      <c r="I57" s="1271"/>
      <c r="J57" s="1272"/>
      <c r="K57" s="1271"/>
      <c r="L57" s="1271"/>
      <c r="M57" s="1271"/>
      <c r="N57" s="439"/>
      <c r="O57" s="1227"/>
      <c r="P57" s="1227"/>
      <c r="Q57" s="1271"/>
      <c r="T57" s="419" t="str">
        <f>IFERROR(VLOOKUP(A57,Poeng!$B$8:$BU$255,Poeng!$E$1,FALSE),"")</f>
        <v/>
      </c>
      <c r="AB57" s="478" t="str">
        <f>Poeng!BQ316</f>
        <v>LE 04</v>
      </c>
      <c r="AC57" s="479">
        <f>IF(D$9=$AA$36,Poeng!BR316,"")</f>
        <v>4</v>
      </c>
      <c r="AD57" s="479" t="str">
        <f>IF(F$9=$AA$36,Poeng!BS316,"")</f>
        <v/>
      </c>
      <c r="AE57" s="480" t="str">
        <f>IF(H$9=$AA$36,Poeng!BT316,"")</f>
        <v/>
      </c>
    </row>
    <row r="58" spans="1:33" x14ac:dyDescent="0.25">
      <c r="A58" s="1273"/>
      <c r="B58" s="1195" t="s">
        <v>64</v>
      </c>
      <c r="C58" s="1227" t="s">
        <v>1067</v>
      </c>
      <c r="D58" s="1271"/>
      <c r="E58" s="1271"/>
      <c r="F58" s="1271"/>
      <c r="G58" s="1271"/>
      <c r="H58" s="1271"/>
      <c r="I58" s="1271"/>
      <c r="J58" s="1272"/>
      <c r="K58" s="1271"/>
      <c r="L58" s="1271"/>
      <c r="M58" s="1271"/>
      <c r="N58" s="439"/>
      <c r="O58" s="1227"/>
      <c r="P58" s="1227"/>
      <c r="Q58" s="1271"/>
      <c r="T58" s="419" t="str">
        <f>IFERROR(VLOOKUP(A58,Poeng!$B$8:$BU$255,Poeng!$E$1,FALSE),"")</f>
        <v/>
      </c>
      <c r="AB58" s="478" t="str">
        <f>Poeng!BQ317</f>
        <v>LE 06</v>
      </c>
      <c r="AC58" s="479">
        <f>IF(D$9=$AA$36,Poeng!BR317,"")</f>
        <v>3</v>
      </c>
      <c r="AD58" s="479" t="str">
        <f>IF(F$9=$AA$36,Poeng!BS317,"")</f>
        <v/>
      </c>
      <c r="AE58" s="480" t="str">
        <f>IF(H$9=$AA$36,Poeng!BT317,"")</f>
        <v/>
      </c>
    </row>
    <row r="59" spans="1:33" x14ac:dyDescent="0.25">
      <c r="A59" s="1273" t="s">
        <v>734</v>
      </c>
      <c r="B59" s="1265" t="str">
        <f>VLOOKUP(A59,Poeng!$B$8:$BU$255,Poeng!$C$1,FALSE)</f>
        <v>Hea 02</v>
      </c>
      <c r="C59" s="1266" t="s">
        <v>1069</v>
      </c>
      <c r="D59" s="1267"/>
      <c r="E59" s="1267"/>
      <c r="F59" s="1267"/>
      <c r="G59" s="1267"/>
      <c r="H59" s="1267"/>
      <c r="I59" s="1267"/>
      <c r="J59" s="1268">
        <f>IF(Poeng!AB49=0,"N/A",VLOOKUP(A59,Poeng!$B$10:$BT$259,Poeng!$BQ$1,FALSE))</f>
        <v>2</v>
      </c>
      <c r="K59" s="1269">
        <f>IF(Poeng!AB49=0,"N/A",VLOOKUP(A59,Poeng!$B$10:$BT$259,Poeng!$AI$1,FALSE))</f>
        <v>0</v>
      </c>
      <c r="L59" s="1269">
        <f>VLOOKUP(A59,Poeng!$B$10:$BT$259,Poeng!$AJ$1,FALSE)</f>
        <v>0</v>
      </c>
      <c r="M59" s="1269">
        <f>VLOOKUP(A59,Poeng!$B$10:$BT$259,Poeng!$AK$1,FALSE)</f>
        <v>0</v>
      </c>
      <c r="N59" s="439"/>
      <c r="O59" s="1227"/>
      <c r="P59" s="1227"/>
      <c r="Q59" s="1271"/>
      <c r="T59" s="419" t="str">
        <f>IFERROR(VLOOKUP(A59,Poeng!$B$8:$BU$255,Poeng!$E$1,FALSE),"")</f>
        <v>Emissions from construction products (EU taxonomy requirement: criterion 5)</v>
      </c>
      <c r="AB59" s="1228"/>
      <c r="AC59" s="1228"/>
      <c r="AD59" s="1228"/>
      <c r="AE59" s="1228"/>
    </row>
    <row r="60" spans="1:33" x14ac:dyDescent="0.25">
      <c r="A60" s="1273"/>
      <c r="B60" s="419"/>
      <c r="C60" s="1227" t="s">
        <v>1067</v>
      </c>
      <c r="D60" s="439"/>
      <c r="E60" s="439"/>
      <c r="F60" s="439"/>
      <c r="G60" s="439"/>
      <c r="H60" s="439"/>
      <c r="I60" s="439"/>
      <c r="J60" s="1272"/>
      <c r="K60" s="439"/>
      <c r="L60" s="439"/>
      <c r="M60" s="439"/>
      <c r="N60" s="439"/>
      <c r="O60" s="1227"/>
      <c r="P60" s="1227"/>
      <c r="Q60" s="1271"/>
      <c r="T60" s="419" t="str">
        <f>IFERROR(VLOOKUP(A60,Poeng!$B$8:$BU$255,Poeng!$E$1,FALSE),"")</f>
        <v/>
      </c>
    </row>
    <row r="61" spans="1:33" x14ac:dyDescent="0.25">
      <c r="A61" s="1273"/>
      <c r="B61" s="1195" t="s">
        <v>65</v>
      </c>
      <c r="C61" s="1227" t="s">
        <v>1067</v>
      </c>
      <c r="D61" s="439"/>
      <c r="E61" s="439"/>
      <c r="F61" s="439"/>
      <c r="G61" s="439"/>
      <c r="H61" s="439"/>
      <c r="I61" s="439"/>
      <c r="J61" s="1272"/>
      <c r="K61" s="439"/>
      <c r="L61" s="439"/>
      <c r="M61" s="439"/>
      <c r="N61" s="439"/>
      <c r="O61" s="1227"/>
      <c r="P61" s="1227"/>
      <c r="Q61" s="439"/>
      <c r="T61" s="419" t="str">
        <f>IFERROR(VLOOKUP(A61,Poeng!$B$8:$BU$255,Poeng!$E$1,FALSE),"")</f>
        <v/>
      </c>
      <c r="AB61" s="420" t="s">
        <v>1040</v>
      </c>
      <c r="AC61" s="420">
        <v>5</v>
      </c>
    </row>
    <row r="62" spans="1:33" x14ac:dyDescent="0.25">
      <c r="A62" s="1273" t="s">
        <v>1030</v>
      </c>
      <c r="B62" s="1265" t="str">
        <f>VLOOKUP(A62,Poeng!$B$8:$BU$255,Poeng!$C$1,FALSE)</f>
        <v>Ene 01</v>
      </c>
      <c r="C62" s="1266" t="str">
        <f>Poeng!E253</f>
        <v>EU taxonomy requirements: criterion 9 and 10</v>
      </c>
      <c r="D62" s="1267"/>
      <c r="E62" s="1267"/>
      <c r="F62" s="1267"/>
      <c r="G62" s="1267"/>
      <c r="H62" s="1267"/>
      <c r="I62" s="1267"/>
      <c r="J62" s="1268" t="str">
        <f>VLOOKUP(A62,Poeng!$B$10:$BT$259,Poeng!$BQ$1,FALSE)</f>
        <v>Yes</v>
      </c>
      <c r="K62" s="1269">
        <f>VLOOKUP(A62,Poeng!$B$10:$BT$259,Poeng!$AI$1,FALSE)</f>
        <v>0</v>
      </c>
      <c r="L62" s="1269">
        <f>VLOOKUP(A62,Poeng!$B$10:$BT$259,Poeng!$AJ$1,FALSE)</f>
        <v>0</v>
      </c>
      <c r="M62" s="1269">
        <f>VLOOKUP(A62,Poeng!$B$10:$BT$259,Poeng!$AK$1,FALSE)</f>
        <v>0</v>
      </c>
      <c r="N62" s="439"/>
      <c r="O62" s="1227"/>
      <c r="P62" s="1227"/>
      <c r="Q62" s="439"/>
      <c r="T62" s="419" t="str">
        <f>IFERROR(VLOOKUP(A62,Poeng!$B$8:$BU$255,Poeng!$E$1,FALSE),"")</f>
        <v>EU taxonomy requirements: criterion 9 and 10</v>
      </c>
      <c r="AB62" s="420" t="s">
        <v>1041</v>
      </c>
    </row>
    <row r="63" spans="1:33" x14ac:dyDescent="0.25">
      <c r="A63" s="1273" t="s">
        <v>1112</v>
      </c>
      <c r="B63" s="1265" t="str">
        <f>VLOOKUP(A63,Poeng!$B$8:$BU$261,Poeng!$C$1,FALSE)</f>
        <v>Ene 01</v>
      </c>
      <c r="C63" s="1266" t="str">
        <f>Poeng!E257</f>
        <v>EU taxonomy requirements: criterion 12</v>
      </c>
      <c r="D63" s="1267"/>
      <c r="E63" s="1267"/>
      <c r="F63" s="1267"/>
      <c r="G63" s="1267"/>
      <c r="H63" s="1267"/>
      <c r="I63" s="1267"/>
      <c r="J63" s="1268" t="str">
        <f>VLOOKUP(A63,Poeng!$B$10:$BT$259,Poeng!$BQ$1,FALSE)</f>
        <v>Yes</v>
      </c>
      <c r="K63" s="1269">
        <f>VLOOKUP(A63,Poeng!$B$10:$BT$259,Poeng!$AI$1,FALSE)</f>
        <v>0</v>
      </c>
      <c r="L63" s="1269">
        <f>VLOOKUP(A63,Poeng!$B$10:$BT$259,Poeng!$AJ$1,FALSE)</f>
        <v>0</v>
      </c>
      <c r="M63" s="1269">
        <f>VLOOKUP(A63,Poeng!$B$10:$BT$259,Poeng!$AK$1,FALSE)</f>
        <v>0</v>
      </c>
      <c r="N63" s="439"/>
      <c r="O63" s="1227"/>
      <c r="P63" s="1227"/>
      <c r="Q63" s="439"/>
      <c r="T63" s="419" t="str">
        <f>IFERROR(VLOOKUP(A63,Poeng!$B$8:$BU$255,Poeng!$E$1,FALSE),"")</f>
        <v/>
      </c>
    </row>
    <row r="64" spans="1:33" x14ac:dyDescent="0.25">
      <c r="A64" s="1273"/>
      <c r="B64" s="419"/>
      <c r="C64" s="1227" t="s">
        <v>1067</v>
      </c>
      <c r="D64" s="439"/>
      <c r="E64" s="439"/>
      <c r="F64" s="439"/>
      <c r="G64" s="439"/>
      <c r="H64" s="439"/>
      <c r="I64" s="439"/>
      <c r="J64" s="1272"/>
      <c r="K64" s="439"/>
      <c r="L64" s="439"/>
      <c r="M64" s="439"/>
      <c r="N64" s="439"/>
      <c r="O64" s="1227"/>
      <c r="P64" s="1227"/>
      <c r="Q64" s="439"/>
      <c r="T64" s="419" t="str">
        <f>IFERROR(VLOOKUP(A64,Poeng!$B$8:$BU$255,Poeng!$E$1,FALSE),"")</f>
        <v/>
      </c>
    </row>
    <row r="65" spans="1:20" x14ac:dyDescent="0.25">
      <c r="A65" s="1273"/>
      <c r="B65" s="1195" t="s">
        <v>58</v>
      </c>
      <c r="C65" s="1227" t="s">
        <v>1067</v>
      </c>
      <c r="D65" s="439"/>
      <c r="E65" s="439"/>
      <c r="F65" s="439"/>
      <c r="G65" s="439"/>
      <c r="H65" s="439"/>
      <c r="I65" s="439"/>
      <c r="J65" s="1272"/>
      <c r="K65" s="439"/>
      <c r="L65" s="439"/>
      <c r="M65" s="439"/>
      <c r="N65" s="439"/>
      <c r="O65" s="1227"/>
      <c r="P65" s="1227"/>
      <c r="Q65" s="439"/>
      <c r="T65" s="419" t="str">
        <f>IFERROR(VLOOKUP(A65,Poeng!$B$8:$BU$255,Poeng!$E$1,FALSE),"")</f>
        <v/>
      </c>
    </row>
    <row r="66" spans="1:20" x14ac:dyDescent="0.25">
      <c r="A66" s="1273" t="s">
        <v>1031</v>
      </c>
      <c r="B66" s="1265" t="str">
        <f>VLOOKUP(A66,Poeng!$B$8:$BU$255,Poeng!$C$1,FALSE)</f>
        <v>Wat 01</v>
      </c>
      <c r="C66" s="1266" t="s">
        <v>1154</v>
      </c>
      <c r="D66" s="1267"/>
      <c r="E66" s="1267"/>
      <c r="F66" s="1267"/>
      <c r="G66" s="1267"/>
      <c r="H66" s="1267"/>
      <c r="I66" s="1267"/>
      <c r="J66" s="1268" t="str">
        <f>IF(Poeng!AB254=0,"N/A",VLOOKUP(A66,Poeng!$B$10:$BT$259,Poeng!$BQ$1,FALSE))</f>
        <v>Yes</v>
      </c>
      <c r="K66" s="1269">
        <f>IF(Poeng!AB254=0,"N/A",VLOOKUP(A66,Poeng!$B$10:$BT$259,Poeng!$AI$1,FALSE))</f>
        <v>0</v>
      </c>
      <c r="L66" s="1269">
        <f>VLOOKUP(A66,Poeng!$B$10:$BT$259,Poeng!$AJ$1,FALSE)</f>
        <v>0</v>
      </c>
      <c r="M66" s="1269">
        <f>VLOOKUP(A66,Poeng!$B$10:$BT$259,Poeng!$AK$1,FALSE)</f>
        <v>0</v>
      </c>
      <c r="N66" s="439"/>
      <c r="O66" s="1227"/>
      <c r="P66" s="1227"/>
      <c r="Q66" s="439"/>
      <c r="T66" s="419" t="str">
        <f>IFERROR(VLOOKUP(A66,Poeng!$B$8:$BU$255,Poeng!$E$1,FALSE),"")</f>
        <v>EU taxonomy requirements: criterion 2</v>
      </c>
    </row>
    <row r="67" spans="1:20" x14ac:dyDescent="0.25">
      <c r="A67" s="1273"/>
      <c r="B67" s="419"/>
      <c r="C67" s="1227" t="s">
        <v>1067</v>
      </c>
      <c r="D67" s="439"/>
      <c r="E67" s="439"/>
      <c r="F67" s="439"/>
      <c r="G67" s="439"/>
      <c r="H67" s="439"/>
      <c r="I67" s="439"/>
      <c r="J67" s="1272"/>
      <c r="K67" s="439"/>
      <c r="L67" s="439"/>
      <c r="M67" s="439"/>
      <c r="N67" s="439"/>
      <c r="O67" s="1227"/>
      <c r="P67" s="1227"/>
      <c r="Q67" s="439"/>
      <c r="T67" s="419" t="str">
        <f>IFERROR(VLOOKUP(A67,Poeng!$B$8:$BU$255,Poeng!$E$1,FALSE),"")</f>
        <v/>
      </c>
    </row>
    <row r="68" spans="1:20" x14ac:dyDescent="0.25">
      <c r="A68" s="1273"/>
      <c r="B68" s="1195" t="s">
        <v>67</v>
      </c>
      <c r="C68" s="1227" t="s">
        <v>1067</v>
      </c>
      <c r="D68" s="439"/>
      <c r="E68" s="439"/>
      <c r="F68" s="439"/>
      <c r="G68" s="439"/>
      <c r="H68" s="439"/>
      <c r="I68" s="439"/>
      <c r="J68" s="1272"/>
      <c r="K68" s="439"/>
      <c r="L68" s="439"/>
      <c r="M68" s="439"/>
      <c r="N68" s="439"/>
      <c r="O68" s="1227"/>
      <c r="P68" s="1227"/>
      <c r="Q68" s="439"/>
      <c r="T68" s="419" t="str">
        <f>IFERROR(VLOOKUP(A68,Poeng!$B$8:$BU$255,Poeng!$E$1,FALSE),"")</f>
        <v/>
      </c>
    </row>
    <row r="69" spans="1:20" x14ac:dyDescent="0.25">
      <c r="A69" s="1273" t="s">
        <v>772</v>
      </c>
      <c r="B69" s="1265" t="str">
        <f>VLOOKUP(A69,Poeng!$B$8:$BU$255,Poeng!$C$1,FALSE)</f>
        <v>Mat 02</v>
      </c>
      <c r="C69" s="1266" t="s">
        <v>1070</v>
      </c>
      <c r="D69" s="1267"/>
      <c r="E69" s="1267"/>
      <c r="F69" s="1267"/>
      <c r="G69" s="1267"/>
      <c r="H69" s="1267"/>
      <c r="I69" s="1267"/>
      <c r="J69" s="1268" t="str">
        <f>VLOOKUP(A69,Poeng!$B$10:$BT$259,Poeng!$BQ$1,FALSE)</f>
        <v>Yes</v>
      </c>
      <c r="K69" s="1269">
        <f>VLOOKUP(A69,Poeng!$B$10:$BT$259,Poeng!$AI$1,FALSE)</f>
        <v>0</v>
      </c>
      <c r="L69" s="1269">
        <f>VLOOKUP(A69,Poeng!$B$10:$BT$259,Poeng!$AJ$1,FALSE)</f>
        <v>0</v>
      </c>
      <c r="M69" s="1269">
        <f>VLOOKUP(A69,Poeng!$B$10:$BT$259,Poeng!$AK$1,FALSE)</f>
        <v>0</v>
      </c>
      <c r="N69" s="439"/>
      <c r="O69" s="1227"/>
      <c r="P69" s="1227"/>
      <c r="Q69" s="439"/>
      <c r="T69" s="419" t="str">
        <f>IFERROR(VLOOKUP(A69,Poeng!$B$8:$BU$255,Poeng!$E$1,FALSE),"")</f>
        <v>Minimum req: absence of environmental toxins (EU taxonomy requirement: criterion 1)</v>
      </c>
    </row>
    <row r="70" spans="1:20" x14ac:dyDescent="0.25">
      <c r="A70" s="1273" t="s">
        <v>1035</v>
      </c>
      <c r="B70" s="1265" t="str">
        <f>VLOOKUP(A70,Poeng!$B$8:$BU$255,Poeng!$C$1,FALSE)</f>
        <v>Mat 06</v>
      </c>
      <c r="C70" s="1266" t="s">
        <v>1156</v>
      </c>
      <c r="D70" s="1267"/>
      <c r="E70" s="1267"/>
      <c r="F70" s="1267"/>
      <c r="G70" s="1267"/>
      <c r="H70" s="1267"/>
      <c r="I70" s="1267"/>
      <c r="J70" s="1268" t="str">
        <f>IF(Poeng!AB145=0,"N/A",VLOOKUP(A70,Poeng!$B$10:$BT$259,Poeng!$BQ$1,FALSE))</f>
        <v>Yes</v>
      </c>
      <c r="K70" s="1269">
        <f>IF(Poeng!AB145=0,"N/A",VLOOKUP(A70,Poeng!$B$10:$BT$259,Poeng!$AI$1,FALSE))</f>
        <v>0</v>
      </c>
      <c r="L70" s="1269">
        <f>VLOOKUP(A70,Poeng!$B$10:$BT$259,Poeng!$AJ$1,FALSE)</f>
        <v>0</v>
      </c>
      <c r="M70" s="1269">
        <f>VLOOKUP(A70,Poeng!$B$10:$BT$259,Poeng!$AK$1,FALSE)</f>
        <v>0</v>
      </c>
      <c r="N70" s="439"/>
      <c r="O70" s="1227"/>
      <c r="P70" s="1227"/>
      <c r="Q70" s="439"/>
      <c r="T70" s="419" t="str">
        <f>IFERROR(VLOOKUP(A70,Poeng!$B$8:$BU$255,Poeng!$E$1,FALSE),"")</f>
        <v>Minimum req: mapping for component reuse - criterion 1 (EU taxonomy requirement: criterion 1)</v>
      </c>
    </row>
    <row r="71" spans="1:20" x14ac:dyDescent="0.25">
      <c r="A71" s="1273" t="s">
        <v>786</v>
      </c>
      <c r="B71" s="1265" t="str">
        <f>VLOOKUP(A71,Poeng!$B$8:$BU$255,Poeng!$C$1,FALSE)</f>
        <v>Mat 07</v>
      </c>
      <c r="C71" s="1266" t="s">
        <v>1080</v>
      </c>
      <c r="D71" s="1267"/>
      <c r="E71" s="1267"/>
      <c r="F71" s="1267"/>
      <c r="G71" s="1267"/>
      <c r="H71" s="1267"/>
      <c r="I71" s="1267"/>
      <c r="J71" s="1268">
        <f>VLOOKUP(A71,Poeng!$B$10:$BT$259,Poeng!$BQ$1,FALSE)</f>
        <v>1</v>
      </c>
      <c r="K71" s="1269">
        <f>VLOOKUP(A71,Poeng!$B$10:$BT$259,Poeng!$AI$1,FALSE)</f>
        <v>0</v>
      </c>
      <c r="L71" s="1269">
        <f>VLOOKUP(A71,Poeng!$B$10:$BT$259,Poeng!$AJ$1,FALSE)</f>
        <v>0</v>
      </c>
      <c r="M71" s="1269">
        <f>VLOOKUP(A71,Poeng!$B$10:$BT$259,Poeng!$AK$1,FALSE)</f>
        <v>0</v>
      </c>
      <c r="N71" s="439"/>
      <c r="O71" s="1227"/>
      <c r="P71" s="1227"/>
      <c r="Q71" s="439"/>
      <c r="T71" s="419" t="str">
        <f>IFERROR(VLOOKUP(A71,Poeng!$B$8:$BU$255,Poeng!$E$1,FALSE),"")</f>
        <v>Design for disassembly and functional adaptability - recommendations (EU taxonomy requirement: criterion 2-3)</v>
      </c>
    </row>
    <row r="72" spans="1:20" x14ac:dyDescent="0.25">
      <c r="A72" s="1273" t="s">
        <v>787</v>
      </c>
      <c r="B72" s="1265" t="str">
        <f>VLOOKUP(A72,Poeng!$B$8:$BU$255,Poeng!$C$1,FALSE)</f>
        <v>Mat 07</v>
      </c>
      <c r="C72" s="1266" t="s">
        <v>1081</v>
      </c>
      <c r="D72" s="1267"/>
      <c r="E72" s="1267"/>
      <c r="F72" s="1267"/>
      <c r="G72" s="1267"/>
      <c r="H72" s="1267"/>
      <c r="I72" s="1267"/>
      <c r="J72" s="1268">
        <f>VLOOKUP(A72,Poeng!$B$10:$BT$259,Poeng!$BQ$1,FALSE)</f>
        <v>1</v>
      </c>
      <c r="K72" s="1269">
        <f>VLOOKUP(A72,Poeng!$B$10:$BT$259,Poeng!$AI$1,FALSE)</f>
        <v>0</v>
      </c>
      <c r="L72" s="1269">
        <f>VLOOKUP(A72,Poeng!$B$10:$BT$259,Poeng!$AJ$1,FALSE)</f>
        <v>0</v>
      </c>
      <c r="M72" s="1269">
        <f>VLOOKUP(A72,Poeng!$B$10:$BT$259,Poeng!$AK$1,FALSE)</f>
        <v>0</v>
      </c>
      <c r="N72" s="439"/>
      <c r="O72" s="1227"/>
      <c r="P72" s="1227"/>
      <c r="Q72" s="439"/>
      <c r="T72" s="419" t="str">
        <f>IFERROR(VLOOKUP(A72,Poeng!$B$8:$BU$255,Poeng!$E$1,FALSE),"")</f>
        <v>Disassembly and functional adaptability - implementation (EU taxonomy requirement: criterion 4-6)</v>
      </c>
    </row>
    <row r="73" spans="1:20" x14ac:dyDescent="0.25">
      <c r="A73" s="1273"/>
      <c r="B73" s="419"/>
      <c r="C73" s="1227" t="s">
        <v>1067</v>
      </c>
      <c r="D73" s="439"/>
      <c r="E73" s="439"/>
      <c r="F73" s="439"/>
      <c r="G73" s="439"/>
      <c r="H73" s="439"/>
      <c r="I73" s="439"/>
      <c r="J73" s="1272"/>
      <c r="K73" s="439"/>
      <c r="L73" s="439"/>
      <c r="M73" s="439"/>
      <c r="N73" s="439"/>
      <c r="O73" s="1227"/>
      <c r="P73" s="1227"/>
      <c r="Q73" s="439"/>
      <c r="T73" s="419" t="str">
        <f>IFERROR(VLOOKUP(A73,Poeng!$B$8:$BU$255,Poeng!$E$1,FALSE),"")</f>
        <v/>
      </c>
    </row>
    <row r="74" spans="1:20" x14ac:dyDescent="0.25">
      <c r="A74" s="1273"/>
      <c r="B74" s="1195" t="s">
        <v>68</v>
      </c>
      <c r="C74" s="1227" t="s">
        <v>1067</v>
      </c>
      <c r="D74" s="439"/>
      <c r="E74" s="439"/>
      <c r="F74" s="439"/>
      <c r="G74" s="439"/>
      <c r="H74" s="439"/>
      <c r="I74" s="439"/>
      <c r="J74" s="1272"/>
      <c r="K74" s="439"/>
      <c r="L74" s="439"/>
      <c r="M74" s="439"/>
      <c r="N74" s="439"/>
      <c r="O74" s="1227"/>
      <c r="P74" s="1227"/>
      <c r="Q74" s="439"/>
      <c r="T74" s="419" t="str">
        <f>IFERROR(VLOOKUP(A74,Poeng!$B$8:$BU$255,Poeng!$E$1,FALSE),"")</f>
        <v/>
      </c>
    </row>
    <row r="75" spans="1:20" x14ac:dyDescent="0.25">
      <c r="A75" s="1273" t="s">
        <v>1032</v>
      </c>
      <c r="B75" s="1265" t="str">
        <f>VLOOKUP(A75,Poeng!$B$8:$BU$255,Poeng!$C$1,FALSE)</f>
        <v>Wst 01</v>
      </c>
      <c r="C75" s="1266" t="s">
        <v>1034</v>
      </c>
      <c r="D75" s="1267"/>
      <c r="E75" s="1267"/>
      <c r="F75" s="1267"/>
      <c r="G75" s="1267"/>
      <c r="H75" s="1267"/>
      <c r="I75" s="1267"/>
      <c r="J75" s="1268" t="str">
        <f>VLOOKUP(A75,Poeng!$B$10:$BT$259,Poeng!$BQ$1,FALSE)</f>
        <v>Yes</v>
      </c>
      <c r="K75" s="1269">
        <f>VLOOKUP(A75,Poeng!$B$10:$BT$259,Poeng!$AI$1,FALSE)</f>
        <v>0</v>
      </c>
      <c r="L75" s="1269">
        <f>VLOOKUP(A75,Poeng!$B$10:$BT$259,Poeng!$AJ$1,FALSE)</f>
        <v>0</v>
      </c>
      <c r="M75" s="1269">
        <f>VLOOKUP(A75,Poeng!$B$10:$BT$259,Poeng!$AK$1,FALSE)</f>
        <v>0</v>
      </c>
      <c r="N75" s="439"/>
      <c r="O75" s="1227"/>
      <c r="P75" s="1227"/>
      <c r="Q75" s="439"/>
      <c r="T75" s="419" t="str">
        <f>IFERROR(VLOOKUP(A75,Poeng!$B$8:$BU$255,Poeng!$E$1,FALSE),"")</f>
        <v>EU taxonomy requirement: criterion 1</v>
      </c>
    </row>
    <row r="76" spans="1:20" x14ac:dyDescent="0.25">
      <c r="A76" s="1273" t="s">
        <v>986</v>
      </c>
      <c r="B76" s="1265" t="str">
        <f>VLOOKUP(A76,Poeng!$B$8:$BU$255,Poeng!$C$1,FALSE)</f>
        <v>Wst 01</v>
      </c>
      <c r="C76" s="1266" t="s">
        <v>1071</v>
      </c>
      <c r="D76" s="1267"/>
      <c r="E76" s="1267"/>
      <c r="F76" s="1267"/>
      <c r="G76" s="1267"/>
      <c r="H76" s="1267"/>
      <c r="I76" s="1267"/>
      <c r="J76" s="1268" t="str">
        <f>VLOOKUP(A76,Poeng!$B$10:$BT$259,Poeng!$BQ$1,FALSE)</f>
        <v>Yes</v>
      </c>
      <c r="K76" s="1269">
        <f>VLOOKUP(A76,Poeng!$B$10:$BT$259,Poeng!$AI$1,FALSE)</f>
        <v>0</v>
      </c>
      <c r="L76" s="1269">
        <f>VLOOKUP(A76,Poeng!$B$10:$BT$259,Poeng!$AJ$1,FALSE)</f>
        <v>0</v>
      </c>
      <c r="M76" s="1269">
        <f>VLOOKUP(A76,Poeng!$B$10:$BT$259,Poeng!$AK$1,FALSE)</f>
        <v>0</v>
      </c>
      <c r="N76" s="439"/>
      <c r="O76" s="1227"/>
      <c r="P76" s="1227"/>
      <c r="Q76" s="439"/>
      <c r="T76" s="419" t="str">
        <f>IFERROR(VLOOKUP(A76,Poeng!$B$8:$BU$255,Poeng!$E$1,FALSE),"")</f>
        <v>EU taxonomy requirement: criterion 4, ready for reuse &gt;70%</v>
      </c>
    </row>
    <row r="77" spans="1:20" x14ac:dyDescent="0.25">
      <c r="A77" s="1273"/>
      <c r="B77" s="419"/>
      <c r="C77" s="1227" t="s">
        <v>1067</v>
      </c>
      <c r="D77" s="439"/>
      <c r="E77" s="439"/>
      <c r="F77" s="439"/>
      <c r="G77" s="439"/>
      <c r="H77" s="439"/>
      <c r="I77" s="439"/>
      <c r="J77" s="1272"/>
      <c r="K77" s="439"/>
      <c r="L77" s="439"/>
      <c r="M77" s="439"/>
      <c r="N77" s="439"/>
      <c r="O77" s="1227"/>
      <c r="P77" s="1227"/>
      <c r="Q77" s="439"/>
      <c r="T77" s="419" t="str">
        <f>IFERROR(VLOOKUP(A77,Poeng!$B$8:$BU$255,Poeng!$E$1,FALSE),"")</f>
        <v/>
      </c>
    </row>
    <row r="78" spans="1:20" x14ac:dyDescent="0.25">
      <c r="A78" s="1273"/>
      <c r="B78" s="1195" t="s">
        <v>69</v>
      </c>
      <c r="C78" s="1227" t="s">
        <v>1067</v>
      </c>
      <c r="D78" s="439"/>
      <c r="E78" s="439"/>
      <c r="F78" s="439"/>
      <c r="G78" s="439"/>
      <c r="H78" s="439"/>
      <c r="I78" s="439"/>
      <c r="J78" s="1272"/>
      <c r="K78" s="419"/>
      <c r="L78" s="439"/>
      <c r="M78" s="439"/>
      <c r="N78" s="439"/>
      <c r="O78" s="1227"/>
      <c r="P78" s="1227"/>
      <c r="Q78" s="439"/>
      <c r="T78" s="419" t="str">
        <f>IFERROR(VLOOKUP(A78,Poeng!$B$8:$BU$255,Poeng!$E$1,FALSE),"")</f>
        <v/>
      </c>
    </row>
    <row r="79" spans="1:20" x14ac:dyDescent="0.25">
      <c r="A79" s="1273" t="s">
        <v>987</v>
      </c>
      <c r="B79" s="1265" t="str">
        <f>VLOOKUP(A79,Poeng!$B$8:$BU$255,Poeng!$C$1,FALSE)</f>
        <v>LE 01</v>
      </c>
      <c r="C79" s="1266" t="s">
        <v>1072</v>
      </c>
      <c r="D79" s="1267"/>
      <c r="E79" s="1267"/>
      <c r="F79" s="1267"/>
      <c r="G79" s="1267"/>
      <c r="H79" s="1267"/>
      <c r="I79" s="1267"/>
      <c r="J79" s="1268" t="str">
        <f>VLOOKUP(A79,Poeng!$B$10:$BT$259,Poeng!$BQ$1,FALSE)</f>
        <v>Yes</v>
      </c>
      <c r="K79" s="1269">
        <f>VLOOKUP(A79,Poeng!$B$10:$BT$259,Poeng!$AI$1,FALSE)</f>
        <v>0</v>
      </c>
      <c r="L79" s="1269">
        <f>VLOOKUP(A79,Poeng!$B$10:$BT$259,Poeng!$AJ$1,FALSE)</f>
        <v>0</v>
      </c>
      <c r="M79" s="1269">
        <f>VLOOKUP(A79,Poeng!$B$10:$BT$259,Poeng!$AK$1,FALSE)</f>
        <v>0</v>
      </c>
      <c r="N79" s="439"/>
      <c r="O79" s="1227"/>
      <c r="P79" s="1227"/>
      <c r="Q79" s="439"/>
      <c r="T79" s="419" t="str">
        <f>IFERROR(VLOOKUP(A79,Poeng!$B$8:$BU$255,Poeng!$E$1,FALSE),"")</f>
        <v>Minimum req: agricultural area / forest (EU taxonomy requirement: criterion 2)</v>
      </c>
    </row>
    <row r="80" spans="1:20" x14ac:dyDescent="0.25">
      <c r="A80" s="1273" t="s">
        <v>798</v>
      </c>
      <c r="B80" s="1265" t="str">
        <f>VLOOKUP(A80,Poeng!$B$8:$BU$255,Poeng!$C$1,FALSE)</f>
        <v>LE 02</v>
      </c>
      <c r="C80" s="1266" t="s">
        <v>1073</v>
      </c>
      <c r="D80" s="1267"/>
      <c r="E80" s="1267"/>
      <c r="F80" s="1267"/>
      <c r="G80" s="1267"/>
      <c r="H80" s="1267"/>
      <c r="I80" s="1267"/>
      <c r="J80" s="1268">
        <f>VLOOKUP(A80,Poeng!$B$10:$BT$259,Poeng!$BQ$1,FALSE)</f>
        <v>1</v>
      </c>
      <c r="K80" s="1269">
        <f>VLOOKUP(A80,Poeng!$B$10:$BT$259,Poeng!$AI$1,FALSE)</f>
        <v>0</v>
      </c>
      <c r="L80" s="1269">
        <f>VLOOKUP(A80,Poeng!$B$10:$BT$259,Poeng!$AJ$1,FALSE)</f>
        <v>0</v>
      </c>
      <c r="M80" s="1269">
        <f>VLOOKUP(A80,Poeng!$B$10:$BT$259,Poeng!$AK$1,FALSE)</f>
        <v>0</v>
      </c>
      <c r="N80" s="439"/>
      <c r="O80" s="1227"/>
      <c r="P80" s="1227"/>
      <c r="Q80" s="439"/>
      <c r="T80" s="419" t="str">
        <f>IFERROR(VLOOKUP(A80,Poeng!$B$8:$BU$255,Poeng!$E$1,FALSE),"")</f>
        <v>Survey and evaluation (EU taxonomy requirement: criterion 2-4)</v>
      </c>
    </row>
    <row r="81" spans="1:20" x14ac:dyDescent="0.25">
      <c r="A81" s="1273" t="s">
        <v>809</v>
      </c>
      <c r="B81" s="1265" t="str">
        <f>VLOOKUP(A81,Poeng!$B$8:$BU$255,Poeng!$C$1,FALSE)</f>
        <v>LE 06</v>
      </c>
      <c r="C81" s="1266" t="s">
        <v>1074</v>
      </c>
      <c r="D81" s="1267"/>
      <c r="E81" s="1267"/>
      <c r="F81" s="1267"/>
      <c r="G81" s="1267"/>
      <c r="H81" s="1267"/>
      <c r="I81" s="1267"/>
      <c r="J81" s="1268">
        <f>VLOOKUP(A81,Poeng!$B$10:$BT$259,Poeng!$BQ$1,FALSE)</f>
        <v>1</v>
      </c>
      <c r="K81" s="1269">
        <f>VLOOKUP(A81,Poeng!$B$10:$BT$259,Poeng!$AI$1,FALSE)</f>
        <v>0</v>
      </c>
      <c r="L81" s="1269">
        <f>VLOOKUP(A81,Poeng!$B$10:$BT$259,Poeng!$AJ$1,FALSE)</f>
        <v>0</v>
      </c>
      <c r="M81" s="1269">
        <f>VLOOKUP(A81,Poeng!$B$10:$BT$259,Poeng!$AK$1,FALSE)</f>
        <v>0</v>
      </c>
      <c r="N81" s="439"/>
      <c r="O81" s="1227"/>
      <c r="P81" s="1227"/>
      <c r="Q81" s="439"/>
      <c r="T81" s="419" t="str">
        <f>IFERROR(VLOOKUP(A81,Poeng!$B$8:$BU$255,Poeng!$E$1,FALSE),"")</f>
        <v>Risk assessment (EU taxonomy requirement: criterion 1-6)</v>
      </c>
    </row>
    <row r="82" spans="1:20" x14ac:dyDescent="0.25">
      <c r="A82" s="1273"/>
      <c r="B82" s="439"/>
      <c r="C82" s="439"/>
      <c r="D82" s="439"/>
      <c r="E82" s="439"/>
      <c r="F82" s="439"/>
      <c r="G82" s="439"/>
      <c r="H82" s="439"/>
      <c r="I82" s="439"/>
      <c r="J82" s="419"/>
      <c r="K82" s="439"/>
      <c r="L82" s="439"/>
      <c r="M82" s="439"/>
      <c r="N82" s="439"/>
      <c r="O82" s="439"/>
      <c r="P82" s="439"/>
      <c r="Q82" s="439"/>
      <c r="T82" s="419" t="str">
        <f>IFERROR(VLOOKUP(A82,Poeng!$B$8:$BU$255,Poeng!$E$1,FALSE),"")</f>
        <v/>
      </c>
    </row>
    <row r="83" spans="1:20" x14ac:dyDescent="0.25">
      <c r="A83" s="825"/>
      <c r="B83" s="439"/>
      <c r="C83" s="439"/>
      <c r="D83" s="439"/>
      <c r="E83" s="439"/>
      <c r="F83" s="439"/>
      <c r="G83" s="439"/>
      <c r="H83" s="439"/>
      <c r="I83" s="439"/>
      <c r="J83" s="439"/>
      <c r="K83" s="439"/>
      <c r="L83" s="439"/>
      <c r="M83" s="439"/>
      <c r="N83" s="439"/>
      <c r="O83" s="439"/>
      <c r="P83" s="439"/>
      <c r="Q83" s="439"/>
      <c r="T83" s="419" t="str">
        <f>IFERROR(VLOOKUP(A83,Poeng!$B$8:$BU$255,Poeng!$E$1,FALSE),"")</f>
        <v/>
      </c>
    </row>
    <row r="84" spans="1:20" x14ac:dyDescent="0.25">
      <c r="A84" s="825"/>
      <c r="B84" s="439"/>
      <c r="C84" s="439"/>
      <c r="D84" s="439"/>
      <c r="E84" s="439"/>
      <c r="F84" s="439"/>
      <c r="G84" s="439"/>
      <c r="H84" s="439"/>
      <c r="I84" s="439"/>
      <c r="J84" s="439"/>
      <c r="K84" s="439"/>
      <c r="L84" s="439"/>
      <c r="M84" s="439"/>
      <c r="N84" s="439"/>
      <c r="O84" s="439"/>
      <c r="P84" s="439"/>
      <c r="Q84" s="439"/>
    </row>
    <row r="85" spans="1:20" x14ac:dyDescent="0.25">
      <c r="A85" s="825"/>
      <c r="B85" s="439"/>
      <c r="C85" s="439"/>
      <c r="D85" s="439"/>
      <c r="E85" s="439"/>
      <c r="F85" s="439"/>
      <c r="G85" s="439"/>
      <c r="H85" s="439"/>
      <c r="I85" s="439"/>
      <c r="J85" s="439"/>
      <c r="K85" s="419"/>
      <c r="L85" s="439"/>
      <c r="M85" s="439"/>
      <c r="N85" s="439"/>
      <c r="O85" s="439"/>
      <c r="P85" s="439"/>
      <c r="Q85" s="439"/>
    </row>
    <row r="86" spans="1:20" x14ac:dyDescent="0.25">
      <c r="A86" s="825"/>
      <c r="B86" s="439"/>
      <c r="C86" s="439"/>
      <c r="D86" s="439"/>
      <c r="E86" s="439"/>
      <c r="F86" s="439"/>
      <c r="G86" s="439"/>
      <c r="H86" s="439"/>
      <c r="I86" s="439"/>
      <c r="J86" s="439"/>
      <c r="K86" s="439"/>
      <c r="L86" s="439"/>
      <c r="M86" s="439"/>
      <c r="N86" s="439"/>
      <c r="O86" s="439"/>
      <c r="P86" s="439"/>
      <c r="Q86" s="439"/>
    </row>
    <row r="87" spans="1:20" x14ac:dyDescent="0.25">
      <c r="A87" s="825"/>
      <c r="B87" s="439"/>
      <c r="C87" s="439"/>
      <c r="D87" s="439"/>
      <c r="E87" s="439"/>
      <c r="F87" s="439"/>
      <c r="G87" s="439"/>
      <c r="H87" s="439"/>
      <c r="I87" s="439"/>
      <c r="J87" s="439"/>
      <c r="K87" s="439"/>
      <c r="L87" s="439"/>
      <c r="M87" s="439"/>
      <c r="N87" s="439"/>
      <c r="O87" s="439"/>
      <c r="P87" s="439"/>
      <c r="Q87" s="439"/>
    </row>
    <row r="88" spans="1:20" x14ac:dyDescent="0.25">
      <c r="A88" s="825"/>
      <c r="B88" s="439"/>
      <c r="C88" s="439"/>
      <c r="D88" s="439"/>
      <c r="E88" s="439"/>
      <c r="F88" s="439"/>
      <c r="G88" s="439"/>
      <c r="H88" s="439"/>
      <c r="I88" s="439"/>
      <c r="J88" s="439"/>
      <c r="K88" s="439"/>
      <c r="L88" s="439"/>
      <c r="M88" s="439"/>
      <c r="N88" s="439"/>
      <c r="O88" s="439"/>
      <c r="P88" s="439"/>
      <c r="Q88" s="439"/>
    </row>
    <row r="89" spans="1:20" x14ac:dyDescent="0.25">
      <c r="A89" s="825"/>
      <c r="B89" s="439"/>
      <c r="C89" s="439"/>
      <c r="D89" s="439"/>
      <c r="E89" s="439"/>
      <c r="F89" s="439"/>
      <c r="G89" s="439"/>
      <c r="H89" s="439"/>
      <c r="I89" s="439"/>
      <c r="J89" s="439"/>
      <c r="K89" s="439"/>
      <c r="L89" s="439"/>
      <c r="M89" s="439"/>
      <c r="N89" s="439"/>
      <c r="O89" s="439"/>
      <c r="P89" s="439"/>
      <c r="Q89" s="439"/>
    </row>
    <row r="90" spans="1:20" x14ac:dyDescent="0.25">
      <c r="A90" s="825"/>
      <c r="B90" s="825"/>
      <c r="C90" s="825"/>
      <c r="D90" s="825"/>
      <c r="E90" s="825"/>
      <c r="F90" s="825"/>
      <c r="G90" s="825"/>
      <c r="H90" s="825"/>
      <c r="I90" s="825"/>
      <c r="J90" s="825"/>
      <c r="K90" s="825"/>
      <c r="L90" s="825"/>
      <c r="M90" s="825"/>
      <c r="N90" s="439"/>
      <c r="O90" s="439"/>
      <c r="P90" s="439"/>
      <c r="Q90" s="439"/>
    </row>
    <row r="91" spans="1:20" x14ac:dyDescent="0.25">
      <c r="A91" s="825"/>
      <c r="B91" s="825"/>
      <c r="C91" s="825"/>
      <c r="D91" s="825"/>
      <c r="E91" s="825"/>
      <c r="F91" s="825"/>
      <c r="G91" s="825"/>
      <c r="H91" s="825"/>
      <c r="I91" s="825"/>
      <c r="J91" s="825"/>
      <c r="K91" s="825"/>
      <c r="L91" s="825"/>
      <c r="M91" s="825"/>
      <c r="N91" s="439"/>
      <c r="O91" s="439"/>
      <c r="P91" s="439"/>
      <c r="Q91" s="439"/>
    </row>
    <row r="92" spans="1:20" x14ac:dyDescent="0.25">
      <c r="A92" s="825"/>
      <c r="B92" s="825"/>
      <c r="C92" s="825"/>
      <c r="D92" s="825"/>
      <c r="E92" s="825"/>
      <c r="F92" s="825"/>
      <c r="G92" s="825"/>
      <c r="H92" s="825"/>
      <c r="I92" s="825"/>
      <c r="J92" s="825"/>
      <c r="K92" s="825"/>
      <c r="L92" s="825"/>
      <c r="M92" s="825"/>
      <c r="N92" s="439"/>
      <c r="O92" s="439"/>
      <c r="P92" s="439"/>
      <c r="Q92" s="439"/>
    </row>
    <row r="93" spans="1:20" hidden="1" x14ac:dyDescent="0.25">
      <c r="A93" s="825" t="s">
        <v>788</v>
      </c>
      <c r="B93" s="825"/>
      <c r="C93" s="825"/>
      <c r="D93" s="825"/>
      <c r="E93" s="825"/>
      <c r="F93" s="825"/>
      <c r="G93" s="825"/>
      <c r="H93" s="825"/>
      <c r="I93" s="825"/>
      <c r="J93" s="825"/>
      <c r="K93" s="825"/>
      <c r="L93" s="825"/>
      <c r="M93" s="825"/>
      <c r="N93" s="439"/>
      <c r="O93" s="439"/>
      <c r="P93" s="439"/>
      <c r="Q93" s="439"/>
    </row>
    <row r="94" spans="1:20" hidden="1" x14ac:dyDescent="0.25">
      <c r="A94" s="825" t="s">
        <v>790</v>
      </c>
      <c r="B94" s="825"/>
      <c r="C94" s="825"/>
      <c r="D94" s="825"/>
      <c r="E94" s="825"/>
      <c r="F94" s="825"/>
      <c r="G94" s="825"/>
      <c r="H94" s="825"/>
      <c r="I94" s="825"/>
      <c r="J94" s="825"/>
      <c r="K94" s="825"/>
      <c r="L94" s="825"/>
      <c r="M94" s="825"/>
      <c r="N94" s="439"/>
      <c r="O94" s="439"/>
      <c r="P94" s="439"/>
      <c r="Q94" s="439"/>
    </row>
    <row r="95" spans="1:20" hidden="1" x14ac:dyDescent="0.25">
      <c r="A95" s="825"/>
      <c r="B95" s="825"/>
      <c r="C95" s="825"/>
      <c r="D95" s="825"/>
      <c r="E95" s="825"/>
      <c r="F95" s="825"/>
      <c r="G95" s="825"/>
      <c r="H95" s="825"/>
      <c r="I95" s="825"/>
      <c r="J95" s="825"/>
      <c r="K95" s="825"/>
      <c r="L95" s="825"/>
      <c r="M95" s="825"/>
      <c r="N95" s="439"/>
      <c r="O95" s="439"/>
      <c r="P95" s="439"/>
      <c r="Q95" s="439"/>
    </row>
    <row r="96" spans="1:20" hidden="1" x14ac:dyDescent="0.25">
      <c r="A96" s="825" t="s">
        <v>783</v>
      </c>
      <c r="B96" s="825"/>
      <c r="C96" s="825"/>
      <c r="D96" s="825"/>
      <c r="E96" s="825"/>
      <c r="F96" s="825"/>
      <c r="G96" s="825"/>
      <c r="H96" s="825"/>
      <c r="I96" s="825"/>
      <c r="J96" s="825"/>
      <c r="K96" s="825"/>
      <c r="L96" s="825"/>
      <c r="M96" s="825"/>
      <c r="N96" s="439"/>
      <c r="O96" s="439"/>
      <c r="P96" s="439"/>
      <c r="Q96" s="439"/>
    </row>
    <row r="97" spans="1:17" hidden="1" x14ac:dyDescent="0.25">
      <c r="A97" s="825" t="s">
        <v>784</v>
      </c>
      <c r="B97" s="825"/>
      <c r="C97" s="825"/>
      <c r="D97" s="825"/>
      <c r="E97" s="825"/>
      <c r="F97" s="825"/>
      <c r="G97" s="825"/>
      <c r="H97" s="825"/>
      <c r="I97" s="825"/>
      <c r="J97" s="825"/>
      <c r="K97" s="825"/>
      <c r="L97" s="825"/>
      <c r="M97" s="825"/>
      <c r="N97" s="439"/>
      <c r="O97" s="439"/>
      <c r="P97" s="439"/>
      <c r="Q97" s="439"/>
    </row>
    <row r="98" spans="1:17" hidden="1" x14ac:dyDescent="0.25">
      <c r="A98" s="825" t="s">
        <v>253</v>
      </c>
      <c r="B98" s="825"/>
      <c r="C98" s="825"/>
      <c r="D98" s="825"/>
      <c r="E98" s="825"/>
      <c r="F98" s="825"/>
      <c r="G98" s="825"/>
      <c r="H98" s="825"/>
      <c r="I98" s="825"/>
      <c r="J98" s="825"/>
      <c r="K98" s="825"/>
      <c r="L98" s="825"/>
      <c r="M98" s="825"/>
      <c r="N98" s="439"/>
      <c r="O98" s="439"/>
      <c r="P98" s="439"/>
      <c r="Q98" s="439"/>
    </row>
    <row r="99" spans="1:17" hidden="1" x14ac:dyDescent="0.25">
      <c r="A99" s="825"/>
      <c r="B99" s="825"/>
      <c r="C99" s="825"/>
      <c r="D99" s="825"/>
      <c r="E99" s="825"/>
      <c r="F99" s="825"/>
      <c r="G99" s="825"/>
      <c r="H99" s="825"/>
      <c r="I99" s="825"/>
      <c r="J99" s="825"/>
      <c r="K99" s="825"/>
      <c r="L99" s="825"/>
      <c r="M99" s="825"/>
      <c r="N99" s="439"/>
      <c r="O99" s="439"/>
      <c r="P99" s="439"/>
      <c r="Q99" s="439"/>
    </row>
    <row r="100" spans="1:17" x14ac:dyDescent="0.25">
      <c r="A100" s="825"/>
      <c r="B100" s="825"/>
      <c r="C100" s="825"/>
      <c r="D100" s="825"/>
      <c r="E100" s="825"/>
      <c r="F100" s="825"/>
      <c r="G100" s="825"/>
      <c r="H100" s="825"/>
      <c r="I100" s="825"/>
      <c r="J100" s="825"/>
      <c r="K100" s="825"/>
      <c r="L100" s="825"/>
      <c r="M100" s="825"/>
      <c r="N100" s="439"/>
      <c r="O100" s="439"/>
      <c r="P100" s="439"/>
      <c r="Q100" s="439"/>
    </row>
    <row r="101" spans="1:17" x14ac:dyDescent="0.25">
      <c r="A101" s="825"/>
      <c r="B101" s="825"/>
      <c r="C101" s="825"/>
      <c r="D101" s="825"/>
      <c r="E101" s="825"/>
      <c r="F101" s="825"/>
      <c r="G101" s="825"/>
      <c r="H101" s="825"/>
      <c r="I101" s="825"/>
      <c r="J101" s="825"/>
      <c r="K101" s="825"/>
      <c r="L101" s="825"/>
      <c r="M101" s="825"/>
      <c r="N101" s="439"/>
      <c r="O101" s="439"/>
      <c r="P101" s="439"/>
      <c r="Q101" s="439"/>
    </row>
    <row r="102" spans="1:17" x14ac:dyDescent="0.25">
      <c r="A102" s="825"/>
      <c r="B102" s="825"/>
      <c r="C102" s="825"/>
      <c r="D102" s="825"/>
      <c r="E102" s="825"/>
      <c r="F102" s="825"/>
      <c r="G102" s="825"/>
      <c r="H102" s="825"/>
      <c r="I102" s="825"/>
      <c r="J102" s="825"/>
      <c r="K102" s="825"/>
      <c r="L102" s="825"/>
      <c r="M102" s="825"/>
      <c r="N102" s="439"/>
      <c r="O102" s="439"/>
      <c r="P102" s="439"/>
      <c r="Q102" s="439"/>
    </row>
    <row r="103" spans="1:17" x14ac:dyDescent="0.25">
      <c r="A103" s="825"/>
      <c r="B103" s="825"/>
      <c r="C103" s="825"/>
      <c r="D103" s="825"/>
      <c r="E103" s="825"/>
      <c r="F103" s="825"/>
      <c r="G103" s="825"/>
      <c r="H103" s="825"/>
      <c r="I103" s="825"/>
      <c r="J103" s="825"/>
      <c r="K103" s="825"/>
      <c r="L103" s="825"/>
      <c r="M103" s="825"/>
      <c r="N103" s="439"/>
      <c r="O103" s="439"/>
      <c r="P103" s="439"/>
      <c r="Q103" s="439"/>
    </row>
    <row r="104" spans="1:17" x14ac:dyDescent="0.25">
      <c r="A104" s="825"/>
      <c r="B104" s="825"/>
      <c r="C104" s="825"/>
      <c r="D104" s="825"/>
      <c r="E104" s="825"/>
      <c r="F104" s="825"/>
      <c r="G104" s="825"/>
      <c r="H104" s="825"/>
      <c r="I104" s="825"/>
      <c r="J104" s="825"/>
      <c r="K104" s="825"/>
      <c r="L104" s="825"/>
      <c r="M104" s="825"/>
      <c r="N104" s="439"/>
      <c r="O104" s="439"/>
      <c r="P104" s="439"/>
      <c r="Q104" s="439"/>
    </row>
    <row r="105" spans="1:17" x14ac:dyDescent="0.25">
      <c r="A105" s="825"/>
      <c r="B105" s="825"/>
      <c r="C105" s="825"/>
      <c r="D105" s="825"/>
      <c r="E105" s="825"/>
      <c r="F105" s="825"/>
      <c r="G105" s="825"/>
      <c r="H105" s="825"/>
      <c r="I105" s="825"/>
      <c r="J105" s="825"/>
      <c r="K105" s="825"/>
      <c r="L105" s="825"/>
      <c r="M105" s="825"/>
      <c r="N105" s="439"/>
      <c r="O105" s="439"/>
      <c r="P105" s="439"/>
      <c r="Q105" s="439"/>
    </row>
    <row r="106" spans="1:17" x14ac:dyDescent="0.25">
      <c r="A106" s="825"/>
      <c r="B106" s="825"/>
      <c r="C106" s="825"/>
      <c r="D106" s="825"/>
      <c r="E106" s="825"/>
      <c r="F106" s="825"/>
      <c r="G106" s="825"/>
      <c r="H106" s="825"/>
      <c r="I106" s="825"/>
      <c r="J106" s="825"/>
      <c r="K106" s="825"/>
      <c r="L106" s="825"/>
      <c r="M106" s="825"/>
      <c r="N106" s="439"/>
      <c r="O106" s="439"/>
      <c r="P106" s="439"/>
      <c r="Q106" s="439"/>
    </row>
    <row r="107" spans="1:17" x14ac:dyDescent="0.25">
      <c r="A107" s="825"/>
      <c r="B107" s="825"/>
      <c r="C107" s="825"/>
      <c r="D107" s="825"/>
      <c r="E107" s="825"/>
      <c r="F107" s="825"/>
      <c r="G107" s="825"/>
      <c r="H107" s="825"/>
      <c r="I107" s="825"/>
      <c r="J107" s="825"/>
      <c r="K107" s="825"/>
      <c r="L107" s="825"/>
      <c r="M107" s="825"/>
      <c r="N107" s="439"/>
      <c r="O107" s="439"/>
      <c r="P107" s="439"/>
      <c r="Q107" s="439"/>
    </row>
    <row r="108" spans="1:17" x14ac:dyDescent="0.25">
      <c r="A108" s="825"/>
      <c r="B108" s="825"/>
      <c r="C108" s="825"/>
      <c r="D108" s="825"/>
      <c r="E108" s="825"/>
      <c r="F108" s="825"/>
      <c r="G108" s="825"/>
      <c r="H108" s="825"/>
      <c r="I108" s="825"/>
      <c r="J108" s="825"/>
      <c r="K108" s="825"/>
      <c r="L108" s="825"/>
      <c r="M108" s="825"/>
      <c r="N108" s="439"/>
      <c r="O108" s="439"/>
      <c r="P108" s="439"/>
      <c r="Q108" s="439"/>
    </row>
    <row r="109" spans="1:17" x14ac:dyDescent="0.25">
      <c r="A109" s="825"/>
      <c r="B109" s="825"/>
      <c r="C109" s="825"/>
      <c r="D109" s="825"/>
      <c r="E109" s="825"/>
      <c r="F109" s="825"/>
      <c r="G109" s="825"/>
      <c r="H109" s="825"/>
      <c r="I109" s="825"/>
      <c r="J109" s="825"/>
      <c r="K109" s="825"/>
      <c r="L109" s="825"/>
      <c r="M109" s="825"/>
      <c r="N109" s="439"/>
      <c r="O109" s="439"/>
      <c r="P109" s="439"/>
      <c r="Q109" s="439"/>
    </row>
    <row r="110" spans="1:17" x14ac:dyDescent="0.25">
      <c r="A110" s="825"/>
      <c r="B110" s="825"/>
      <c r="C110" s="825"/>
      <c r="D110" s="825"/>
      <c r="E110" s="825"/>
      <c r="F110" s="825"/>
      <c r="G110" s="825"/>
      <c r="H110" s="825"/>
      <c r="I110" s="825"/>
      <c r="J110" s="825"/>
      <c r="K110" s="825"/>
      <c r="L110" s="825"/>
      <c r="M110" s="825"/>
      <c r="N110" s="439"/>
      <c r="O110" s="439"/>
      <c r="P110" s="439"/>
      <c r="Q110" s="439"/>
    </row>
    <row r="111" spans="1:17" x14ac:dyDescent="0.25">
      <c r="A111" s="825"/>
      <c r="B111" s="825"/>
      <c r="C111" s="825"/>
      <c r="D111" s="825"/>
      <c r="E111" s="825"/>
      <c r="F111" s="825"/>
      <c r="G111" s="825"/>
      <c r="H111" s="825"/>
      <c r="I111" s="825"/>
      <c r="J111" s="825"/>
      <c r="K111" s="825"/>
      <c r="L111" s="825"/>
      <c r="M111" s="825"/>
      <c r="N111" s="439"/>
      <c r="O111" s="439"/>
      <c r="P111" s="439"/>
      <c r="Q111" s="439"/>
    </row>
    <row r="112" spans="1:17" x14ac:dyDescent="0.25">
      <c r="A112" s="825"/>
      <c r="B112" s="825"/>
      <c r="C112" s="825"/>
      <c r="D112" s="825"/>
      <c r="E112" s="825"/>
      <c r="F112" s="825"/>
      <c r="G112" s="825"/>
      <c r="H112" s="825"/>
      <c r="I112" s="825"/>
      <c r="J112" s="825"/>
      <c r="K112" s="825"/>
      <c r="L112" s="825"/>
      <c r="M112" s="825"/>
      <c r="N112" s="439"/>
      <c r="O112" s="439"/>
      <c r="P112" s="439"/>
      <c r="Q112" s="439"/>
    </row>
    <row r="113" spans="1:17" x14ac:dyDescent="0.25">
      <c r="A113" s="825"/>
      <c r="B113" s="825"/>
      <c r="C113" s="825"/>
      <c r="D113" s="825"/>
      <c r="E113" s="825"/>
      <c r="F113" s="825"/>
      <c r="G113" s="825"/>
      <c r="H113" s="825"/>
      <c r="I113" s="825"/>
      <c r="J113" s="825"/>
      <c r="K113" s="825"/>
      <c r="L113" s="825"/>
      <c r="M113" s="825"/>
      <c r="N113" s="439"/>
      <c r="O113" s="439"/>
      <c r="P113" s="439"/>
      <c r="Q113" s="439"/>
    </row>
    <row r="114" spans="1:17" x14ac:dyDescent="0.25">
      <c r="A114" s="1273"/>
      <c r="B114" s="439"/>
      <c r="C114" s="439"/>
      <c r="D114" s="439"/>
      <c r="E114" s="439"/>
      <c r="F114" s="439"/>
      <c r="G114" s="439"/>
      <c r="H114" s="439"/>
      <c r="I114" s="439"/>
      <c r="J114" s="439"/>
      <c r="K114" s="439"/>
      <c r="L114" s="439"/>
      <c r="M114" s="439"/>
      <c r="N114" s="439"/>
      <c r="O114" s="439"/>
      <c r="P114" s="439"/>
      <c r="Q114" s="439"/>
    </row>
    <row r="115" spans="1:17" x14ac:dyDescent="0.25">
      <c r="A115" s="1273"/>
      <c r="B115" s="439"/>
      <c r="C115" s="439"/>
      <c r="D115" s="439"/>
      <c r="E115" s="439"/>
      <c r="F115" s="439"/>
      <c r="G115" s="439"/>
      <c r="H115" s="439"/>
      <c r="I115" s="439"/>
      <c r="J115" s="439"/>
      <c r="K115" s="439"/>
      <c r="L115" s="439"/>
      <c r="M115" s="439"/>
      <c r="N115" s="439"/>
      <c r="O115" s="439"/>
      <c r="P115" s="439"/>
      <c r="Q115" s="439"/>
    </row>
    <row r="116" spans="1:17" x14ac:dyDescent="0.25">
      <c r="A116" s="1273"/>
      <c r="B116" s="439"/>
      <c r="C116" s="439"/>
      <c r="D116" s="439"/>
      <c r="E116" s="439"/>
      <c r="F116" s="439"/>
      <c r="G116" s="439"/>
      <c r="H116" s="439"/>
      <c r="I116" s="439"/>
      <c r="J116" s="439"/>
      <c r="K116" s="439"/>
      <c r="L116" s="439"/>
      <c r="M116" s="439"/>
      <c r="N116" s="439"/>
      <c r="O116" s="439"/>
      <c r="P116" s="439"/>
      <c r="Q116" s="439"/>
    </row>
    <row r="117" spans="1:17" x14ac:dyDescent="0.25">
      <c r="A117" s="1273"/>
      <c r="B117" s="439"/>
      <c r="C117" s="439"/>
      <c r="D117" s="439"/>
      <c r="E117" s="439"/>
      <c r="F117" s="439"/>
      <c r="G117" s="439"/>
      <c r="H117" s="439"/>
      <c r="I117" s="439"/>
      <c r="J117" s="439"/>
      <c r="K117" s="439"/>
      <c r="L117" s="439"/>
      <c r="M117" s="439"/>
      <c r="N117" s="439"/>
      <c r="O117" s="439"/>
      <c r="P117" s="439"/>
      <c r="Q117" s="439"/>
    </row>
    <row r="118" spans="1:17" x14ac:dyDescent="0.25">
      <c r="A118" s="1273"/>
      <c r="B118" s="439"/>
      <c r="C118" s="439"/>
      <c r="D118" s="439"/>
      <c r="E118" s="439"/>
      <c r="F118" s="439"/>
      <c r="G118" s="439"/>
      <c r="H118" s="439"/>
      <c r="I118" s="439"/>
      <c r="J118" s="439"/>
      <c r="K118" s="439"/>
      <c r="L118" s="439"/>
      <c r="M118" s="439"/>
      <c r="N118" s="439"/>
      <c r="O118" s="439"/>
      <c r="P118" s="439"/>
      <c r="Q118" s="439"/>
    </row>
    <row r="119" spans="1:17" x14ac:dyDescent="0.25">
      <c r="A119" s="1273"/>
      <c r="B119" s="439"/>
      <c r="C119" s="439"/>
      <c r="D119" s="439"/>
      <c r="E119" s="439"/>
      <c r="F119" s="439"/>
      <c r="G119" s="439"/>
      <c r="H119" s="439"/>
      <c r="I119" s="439"/>
      <c r="J119" s="439"/>
      <c r="K119" s="439"/>
      <c r="L119" s="439"/>
      <c r="M119" s="439"/>
      <c r="N119" s="439"/>
      <c r="O119" s="439"/>
      <c r="P119" s="439"/>
      <c r="Q119" s="439"/>
    </row>
    <row r="120" spans="1:17" x14ac:dyDescent="0.25">
      <c r="A120" s="1273"/>
      <c r="B120" s="439"/>
      <c r="C120" s="439"/>
      <c r="D120" s="439"/>
      <c r="E120" s="439"/>
      <c r="F120" s="439"/>
      <c r="G120" s="439"/>
      <c r="H120" s="439"/>
      <c r="I120" s="439"/>
      <c r="J120" s="439"/>
      <c r="K120" s="439"/>
      <c r="L120" s="439"/>
      <c r="M120" s="439"/>
      <c r="N120" s="439"/>
      <c r="O120" s="439"/>
      <c r="P120" s="439"/>
      <c r="Q120" s="439"/>
    </row>
    <row r="121" spans="1:17" x14ac:dyDescent="0.25">
      <c r="A121" s="1273"/>
      <c r="B121" s="439"/>
      <c r="C121" s="439"/>
      <c r="D121" s="439"/>
      <c r="E121" s="439"/>
      <c r="F121" s="439"/>
      <c r="G121" s="439"/>
      <c r="H121" s="439"/>
      <c r="I121" s="439"/>
      <c r="J121" s="439"/>
      <c r="K121" s="439"/>
      <c r="L121" s="439"/>
      <c r="M121" s="439"/>
      <c r="N121" s="439"/>
      <c r="O121" s="439"/>
      <c r="P121" s="439"/>
      <c r="Q121" s="439"/>
    </row>
    <row r="122" spans="1:17" x14ac:dyDescent="0.25">
      <c r="A122" s="1273"/>
      <c r="B122" s="439"/>
      <c r="C122" s="439"/>
      <c r="D122" s="439"/>
      <c r="E122" s="439"/>
      <c r="F122" s="439"/>
      <c r="G122" s="439"/>
      <c r="H122" s="439"/>
      <c r="I122" s="439"/>
      <c r="J122" s="439"/>
      <c r="K122" s="439"/>
      <c r="L122" s="439"/>
      <c r="M122" s="439"/>
      <c r="N122" s="439"/>
      <c r="O122" s="439"/>
      <c r="P122" s="439"/>
      <c r="Q122" s="439"/>
    </row>
    <row r="123" spans="1:17" x14ac:dyDescent="0.25">
      <c r="A123" s="1273"/>
      <c r="B123" s="439"/>
      <c r="C123" s="439"/>
      <c r="D123" s="439"/>
      <c r="E123" s="439"/>
      <c r="F123" s="439"/>
      <c r="G123" s="439"/>
      <c r="H123" s="439"/>
      <c r="I123" s="439"/>
      <c r="J123" s="439"/>
      <c r="K123" s="439"/>
      <c r="L123" s="439"/>
      <c r="M123" s="439"/>
      <c r="N123" s="439"/>
      <c r="O123" s="439"/>
      <c r="P123" s="439"/>
      <c r="Q123" s="439"/>
    </row>
    <row r="124" spans="1:17" x14ac:dyDescent="0.25">
      <c r="A124" s="1273"/>
      <c r="B124" s="439"/>
      <c r="C124" s="439"/>
      <c r="D124" s="439"/>
      <c r="E124" s="439"/>
      <c r="F124" s="439"/>
      <c r="G124" s="439"/>
      <c r="H124" s="439"/>
      <c r="I124" s="439"/>
      <c r="J124" s="439"/>
      <c r="K124" s="439"/>
      <c r="L124" s="439"/>
      <c r="M124" s="439"/>
      <c r="N124" s="439"/>
      <c r="O124" s="439"/>
      <c r="P124" s="439"/>
      <c r="Q124" s="439"/>
    </row>
    <row r="125" spans="1:17" x14ac:dyDescent="0.25">
      <c r="A125" s="1273"/>
      <c r="B125" s="439"/>
      <c r="C125" s="439"/>
      <c r="D125" s="439"/>
      <c r="E125" s="439"/>
      <c r="F125" s="439"/>
      <c r="G125" s="439"/>
      <c r="H125" s="439"/>
      <c r="I125" s="439"/>
      <c r="J125" s="439"/>
      <c r="K125" s="439"/>
      <c r="L125" s="439"/>
      <c r="M125" s="439"/>
      <c r="N125" s="439"/>
      <c r="O125" s="439"/>
      <c r="P125" s="439"/>
      <c r="Q125" s="439"/>
    </row>
    <row r="126" spans="1:17" x14ac:dyDescent="0.25">
      <c r="A126" s="1273"/>
      <c r="B126" s="439"/>
      <c r="C126" s="439"/>
      <c r="D126" s="439"/>
      <c r="E126" s="439"/>
      <c r="F126" s="439"/>
      <c r="G126" s="439"/>
      <c r="H126" s="439"/>
      <c r="I126" s="439"/>
      <c r="J126" s="439"/>
      <c r="K126" s="439"/>
      <c r="L126" s="439"/>
      <c r="M126" s="439"/>
      <c r="N126" s="439"/>
      <c r="O126" s="439"/>
      <c r="P126" s="439"/>
      <c r="Q126" s="439"/>
    </row>
    <row r="127" spans="1:17" x14ac:dyDescent="0.25">
      <c r="A127" s="1273"/>
      <c r="B127" s="439"/>
      <c r="C127" s="439"/>
      <c r="D127" s="439"/>
      <c r="E127" s="439"/>
      <c r="F127" s="439"/>
      <c r="G127" s="439"/>
      <c r="H127" s="439"/>
      <c r="I127" s="439"/>
      <c r="J127" s="439"/>
      <c r="K127" s="439"/>
      <c r="L127" s="439"/>
      <c r="M127" s="439"/>
      <c r="N127" s="439"/>
      <c r="O127" s="439"/>
      <c r="P127" s="439"/>
      <c r="Q127" s="439"/>
    </row>
    <row r="128" spans="1:17" x14ac:dyDescent="0.25">
      <c r="A128" s="1273"/>
      <c r="B128" s="439"/>
      <c r="C128" s="439"/>
      <c r="D128" s="439"/>
      <c r="E128" s="439"/>
      <c r="F128" s="439"/>
      <c r="G128" s="439"/>
      <c r="H128" s="439"/>
      <c r="I128" s="439"/>
      <c r="J128" s="439"/>
      <c r="K128" s="439"/>
      <c r="L128" s="439"/>
      <c r="M128" s="439"/>
      <c r="N128" s="439"/>
      <c r="O128" s="439"/>
      <c r="P128" s="439"/>
      <c r="Q128" s="439"/>
    </row>
    <row r="129" spans="1:17" x14ac:dyDescent="0.25">
      <c r="A129" s="1273"/>
      <c r="B129" s="439"/>
      <c r="C129" s="439"/>
      <c r="D129" s="439"/>
      <c r="E129" s="439"/>
      <c r="F129" s="439"/>
      <c r="G129" s="439"/>
      <c r="H129" s="439"/>
      <c r="I129" s="439"/>
      <c r="J129" s="439"/>
      <c r="K129" s="439"/>
      <c r="L129" s="439"/>
      <c r="M129" s="439"/>
      <c r="N129" s="439"/>
      <c r="O129" s="439"/>
      <c r="P129" s="439"/>
      <c r="Q129" s="439"/>
    </row>
    <row r="130" spans="1:17" x14ac:dyDescent="0.25">
      <c r="A130" s="1273"/>
      <c r="B130" s="439"/>
      <c r="C130" s="439"/>
      <c r="D130" s="439"/>
      <c r="E130" s="439"/>
      <c r="F130" s="439"/>
      <c r="G130" s="439"/>
      <c r="H130" s="439"/>
      <c r="I130" s="439"/>
      <c r="J130" s="439"/>
      <c r="K130" s="439"/>
      <c r="L130" s="439"/>
      <c r="M130" s="439"/>
      <c r="N130" s="439"/>
      <c r="O130" s="439"/>
      <c r="P130" s="439"/>
      <c r="Q130" s="439"/>
    </row>
    <row r="131" spans="1:17" x14ac:dyDescent="0.25">
      <c r="A131" s="1273"/>
      <c r="B131" s="439"/>
      <c r="C131" s="439"/>
      <c r="D131" s="439"/>
      <c r="E131" s="439"/>
      <c r="F131" s="439"/>
      <c r="G131" s="439"/>
      <c r="H131" s="439"/>
      <c r="I131" s="439"/>
      <c r="J131" s="439"/>
      <c r="K131" s="439"/>
      <c r="L131" s="439"/>
      <c r="M131" s="439"/>
      <c r="N131" s="439"/>
      <c r="O131" s="439"/>
      <c r="P131" s="439"/>
      <c r="Q131" s="439"/>
    </row>
    <row r="132" spans="1:17" x14ac:dyDescent="0.25">
      <c r="A132" s="1273"/>
      <c r="B132" s="439"/>
      <c r="C132" s="439"/>
      <c r="D132" s="439"/>
      <c r="E132" s="439"/>
      <c r="F132" s="439"/>
      <c r="G132" s="439"/>
      <c r="H132" s="439"/>
      <c r="I132" s="439"/>
      <c r="J132" s="439"/>
      <c r="K132" s="439"/>
      <c r="L132" s="439"/>
      <c r="M132" s="439"/>
      <c r="N132" s="439"/>
      <c r="O132" s="439"/>
      <c r="P132" s="439"/>
      <c r="Q132" s="439"/>
    </row>
    <row r="133" spans="1:17" x14ac:dyDescent="0.25">
      <c r="A133" s="1273"/>
      <c r="B133" s="439"/>
      <c r="C133" s="439"/>
      <c r="D133" s="439"/>
      <c r="E133" s="439"/>
      <c r="F133" s="439"/>
      <c r="G133" s="439"/>
      <c r="H133" s="439"/>
      <c r="I133" s="439"/>
      <c r="J133" s="439"/>
      <c r="K133" s="439"/>
      <c r="L133" s="439"/>
      <c r="M133" s="439"/>
      <c r="N133" s="439"/>
      <c r="O133" s="439"/>
      <c r="P133" s="439"/>
      <c r="Q133" s="439"/>
    </row>
    <row r="134" spans="1:17" x14ac:dyDescent="0.25">
      <c r="A134" s="1273"/>
      <c r="B134" s="439"/>
      <c r="C134" s="439"/>
      <c r="D134" s="439"/>
      <c r="E134" s="439"/>
      <c r="F134" s="439"/>
      <c r="G134" s="439"/>
      <c r="H134" s="439"/>
      <c r="I134" s="439"/>
      <c r="J134" s="439"/>
      <c r="K134" s="439"/>
      <c r="L134" s="439"/>
      <c r="M134" s="439"/>
      <c r="N134" s="439"/>
      <c r="O134" s="439"/>
      <c r="P134" s="439"/>
      <c r="Q134" s="439"/>
    </row>
    <row r="135" spans="1:17" x14ac:dyDescent="0.25">
      <c r="A135" s="1273"/>
      <c r="B135" s="439"/>
      <c r="C135" s="439"/>
      <c r="D135" s="439"/>
      <c r="E135" s="439"/>
      <c r="F135" s="439"/>
      <c r="G135" s="439"/>
      <c r="H135" s="439"/>
      <c r="I135" s="439"/>
      <c r="J135" s="439"/>
      <c r="K135" s="439"/>
      <c r="L135" s="439"/>
      <c r="M135" s="439"/>
      <c r="N135" s="439"/>
      <c r="O135" s="439"/>
      <c r="P135" s="439"/>
      <c r="Q135" s="439"/>
    </row>
    <row r="136" spans="1:17" x14ac:dyDescent="0.25">
      <c r="A136" s="1273"/>
      <c r="B136" s="439"/>
      <c r="C136" s="439"/>
      <c r="D136" s="439"/>
      <c r="E136" s="439"/>
      <c r="F136" s="439"/>
      <c r="G136" s="439"/>
      <c r="H136" s="439"/>
      <c r="I136" s="439"/>
      <c r="J136" s="439"/>
      <c r="K136" s="439"/>
      <c r="L136" s="439"/>
      <c r="M136" s="439"/>
      <c r="N136" s="439"/>
      <c r="O136" s="439"/>
      <c r="P136" s="439"/>
      <c r="Q136" s="439"/>
    </row>
    <row r="137" spans="1:17" x14ac:dyDescent="0.25">
      <c r="A137" s="1273"/>
      <c r="B137" s="439"/>
      <c r="C137" s="439"/>
      <c r="D137" s="439"/>
      <c r="E137" s="439"/>
      <c r="F137" s="439"/>
      <c r="G137" s="439"/>
      <c r="H137" s="439"/>
      <c r="I137" s="439"/>
      <c r="J137" s="439"/>
      <c r="K137" s="439"/>
      <c r="L137" s="439"/>
      <c r="M137" s="439"/>
      <c r="N137" s="439"/>
      <c r="O137" s="439"/>
      <c r="P137" s="439"/>
      <c r="Q137" s="439"/>
    </row>
    <row r="138" spans="1:17" x14ac:dyDescent="0.25">
      <c r="A138" s="1273"/>
      <c r="B138" s="439"/>
      <c r="C138" s="439"/>
      <c r="D138" s="439"/>
      <c r="E138" s="439"/>
      <c r="F138" s="439"/>
      <c r="G138" s="439"/>
      <c r="H138" s="439"/>
      <c r="I138" s="439"/>
      <c r="J138" s="439"/>
      <c r="K138" s="439"/>
      <c r="L138" s="439"/>
      <c r="M138" s="439"/>
      <c r="N138" s="439"/>
      <c r="O138" s="439"/>
      <c r="P138" s="439"/>
      <c r="Q138" s="439"/>
    </row>
    <row r="139" spans="1:17" x14ac:dyDescent="0.25">
      <c r="A139" s="1273"/>
      <c r="B139" s="439"/>
      <c r="C139" s="439"/>
      <c r="D139" s="439"/>
      <c r="E139" s="439"/>
      <c r="F139" s="439"/>
      <c r="G139" s="439"/>
      <c r="H139" s="439"/>
      <c r="I139" s="439"/>
      <c r="J139" s="439"/>
      <c r="K139" s="439"/>
      <c r="L139" s="439"/>
      <c r="M139" s="439"/>
      <c r="N139" s="439"/>
      <c r="O139" s="439"/>
      <c r="P139" s="439"/>
      <c r="Q139" s="439"/>
    </row>
    <row r="140" spans="1:17" x14ac:dyDescent="0.25">
      <c r="A140" s="1273"/>
      <c r="B140" s="439"/>
      <c r="C140" s="439"/>
      <c r="D140" s="439"/>
      <c r="E140" s="439"/>
      <c r="F140" s="439"/>
      <c r="G140" s="439"/>
      <c r="H140" s="439"/>
      <c r="I140" s="439"/>
      <c r="J140" s="439"/>
      <c r="K140" s="439"/>
      <c r="L140" s="439"/>
      <c r="M140" s="439"/>
      <c r="N140" s="439"/>
      <c r="O140" s="439"/>
      <c r="P140" s="439"/>
      <c r="Q140" s="439"/>
    </row>
    <row r="141" spans="1:17" x14ac:dyDescent="0.25">
      <c r="A141" s="1273"/>
      <c r="B141" s="439"/>
      <c r="C141" s="439"/>
      <c r="D141" s="439"/>
      <c r="E141" s="439"/>
      <c r="F141" s="439"/>
      <c r="G141" s="439"/>
      <c r="H141" s="439"/>
      <c r="I141" s="439"/>
      <c r="J141" s="439"/>
      <c r="K141" s="439"/>
      <c r="L141" s="439"/>
      <c r="M141" s="439"/>
      <c r="N141" s="439"/>
      <c r="O141" s="439"/>
      <c r="P141" s="439"/>
      <c r="Q141" s="439"/>
    </row>
    <row r="142" spans="1:17" x14ac:dyDescent="0.25">
      <c r="A142" s="1273"/>
      <c r="B142" s="439"/>
      <c r="C142" s="439"/>
      <c r="D142" s="439"/>
      <c r="E142" s="439"/>
      <c r="F142" s="439"/>
      <c r="G142" s="439"/>
      <c r="H142" s="439"/>
      <c r="I142" s="439"/>
      <c r="J142" s="439"/>
      <c r="K142" s="439"/>
      <c r="L142" s="439"/>
      <c r="M142" s="439"/>
      <c r="N142" s="439"/>
      <c r="O142" s="439"/>
      <c r="P142" s="439"/>
      <c r="Q142" s="439"/>
    </row>
    <row r="143" spans="1:17" x14ac:dyDescent="0.25">
      <c r="A143" s="1273"/>
      <c r="B143" s="439"/>
      <c r="C143" s="439"/>
      <c r="D143" s="439"/>
      <c r="E143" s="439"/>
      <c r="F143" s="439"/>
      <c r="G143" s="439"/>
      <c r="H143" s="439"/>
      <c r="I143" s="439"/>
      <c r="J143" s="439"/>
      <c r="K143" s="439"/>
      <c r="L143" s="439"/>
      <c r="M143" s="439"/>
      <c r="N143" s="439"/>
      <c r="O143" s="439"/>
      <c r="P143" s="439"/>
      <c r="Q143" s="439"/>
    </row>
    <row r="144" spans="1:17" x14ac:dyDescent="0.25">
      <c r="A144" s="1273"/>
      <c r="B144" s="439"/>
      <c r="C144" s="439"/>
      <c r="D144" s="439"/>
      <c r="E144" s="439"/>
      <c r="F144" s="439"/>
      <c r="G144" s="439"/>
      <c r="H144" s="439"/>
      <c r="I144" s="439"/>
      <c r="J144" s="439"/>
      <c r="K144" s="439"/>
      <c r="L144" s="439"/>
      <c r="M144" s="439"/>
      <c r="N144" s="439"/>
      <c r="O144" s="439"/>
      <c r="P144" s="439"/>
      <c r="Q144" s="439"/>
    </row>
    <row r="145" spans="1:17" x14ac:dyDescent="0.25">
      <c r="A145" s="1273"/>
      <c r="B145" s="439"/>
      <c r="C145" s="439"/>
      <c r="D145" s="439"/>
      <c r="E145" s="439"/>
      <c r="F145" s="439"/>
      <c r="G145" s="439"/>
      <c r="H145" s="439"/>
      <c r="I145" s="439"/>
      <c r="J145" s="439"/>
      <c r="K145" s="439"/>
      <c r="L145" s="439"/>
      <c r="M145" s="439"/>
      <c r="N145" s="439"/>
      <c r="O145" s="439"/>
      <c r="P145" s="439"/>
      <c r="Q145" s="439"/>
    </row>
    <row r="146" spans="1:17" x14ac:dyDescent="0.25">
      <c r="A146" s="1273"/>
      <c r="B146" s="439"/>
      <c r="C146" s="439"/>
      <c r="D146" s="439"/>
      <c r="E146" s="439"/>
      <c r="F146" s="439"/>
      <c r="G146" s="439"/>
      <c r="H146" s="439"/>
      <c r="I146" s="439"/>
      <c r="J146" s="439"/>
      <c r="K146" s="439"/>
      <c r="L146" s="439"/>
      <c r="M146" s="439"/>
      <c r="N146" s="439"/>
      <c r="O146" s="439"/>
      <c r="P146" s="439"/>
      <c r="Q146" s="439"/>
    </row>
    <row r="147" spans="1:17" x14ac:dyDescent="0.25">
      <c r="A147" s="1273"/>
      <c r="B147" s="439"/>
      <c r="C147" s="439"/>
      <c r="D147" s="439"/>
      <c r="E147" s="439"/>
      <c r="F147" s="439"/>
      <c r="G147" s="439"/>
      <c r="H147" s="439"/>
      <c r="I147" s="439"/>
      <c r="J147" s="439"/>
      <c r="K147" s="439"/>
      <c r="L147" s="439"/>
      <c r="M147" s="439"/>
      <c r="N147" s="439"/>
      <c r="O147" s="439"/>
      <c r="P147" s="439"/>
      <c r="Q147" s="439"/>
    </row>
    <row r="148" spans="1:17" x14ac:dyDescent="0.25">
      <c r="A148" s="1273"/>
      <c r="B148" s="439"/>
      <c r="C148" s="439"/>
      <c r="D148" s="439"/>
      <c r="E148" s="439"/>
      <c r="F148" s="439"/>
      <c r="G148" s="439"/>
      <c r="H148" s="439"/>
      <c r="I148" s="439"/>
      <c r="J148" s="439"/>
      <c r="K148" s="439"/>
      <c r="L148" s="439"/>
      <c r="M148" s="439"/>
      <c r="N148" s="439"/>
      <c r="O148" s="439"/>
      <c r="P148" s="439"/>
      <c r="Q148" s="439"/>
    </row>
    <row r="149" spans="1:17" x14ac:dyDescent="0.25">
      <c r="A149" s="1273"/>
      <c r="B149" s="439"/>
      <c r="C149" s="439"/>
      <c r="D149" s="439"/>
      <c r="E149" s="439"/>
      <c r="F149" s="439"/>
      <c r="G149" s="439"/>
      <c r="H149" s="439"/>
      <c r="I149" s="439"/>
      <c r="J149" s="439"/>
      <c r="K149" s="439"/>
      <c r="L149" s="439"/>
      <c r="M149" s="439"/>
      <c r="N149" s="439"/>
      <c r="O149" s="439"/>
      <c r="P149" s="439"/>
      <c r="Q149" s="439"/>
    </row>
    <row r="150" spans="1:17" x14ac:dyDescent="0.25">
      <c r="A150" s="1273"/>
      <c r="B150" s="439"/>
      <c r="C150" s="439"/>
      <c r="D150" s="439"/>
      <c r="E150" s="439"/>
      <c r="F150" s="439"/>
      <c r="G150" s="439"/>
      <c r="H150" s="439"/>
      <c r="I150" s="439"/>
      <c r="J150" s="439"/>
      <c r="K150" s="439"/>
      <c r="L150" s="439"/>
      <c r="M150" s="439"/>
      <c r="N150" s="439"/>
      <c r="O150" s="439"/>
      <c r="P150" s="439"/>
      <c r="Q150" s="439"/>
    </row>
    <row r="151" spans="1:17" x14ac:dyDescent="0.25">
      <c r="A151" s="1273"/>
      <c r="B151" s="439"/>
      <c r="C151" s="439"/>
      <c r="D151" s="439"/>
      <c r="E151" s="439"/>
      <c r="F151" s="439"/>
      <c r="G151" s="439"/>
      <c r="H151" s="439"/>
      <c r="I151" s="439"/>
      <c r="J151" s="439"/>
      <c r="K151" s="439"/>
      <c r="L151" s="439"/>
      <c r="M151" s="439"/>
      <c r="N151" s="439"/>
      <c r="O151" s="439"/>
      <c r="P151" s="439"/>
      <c r="Q151" s="439"/>
    </row>
    <row r="152" spans="1:17" x14ac:dyDescent="0.25">
      <c r="A152" s="1273"/>
      <c r="B152" s="439"/>
      <c r="C152" s="439"/>
      <c r="D152" s="439"/>
      <c r="E152" s="439"/>
      <c r="F152" s="439"/>
      <c r="G152" s="439"/>
      <c r="H152" s="439"/>
      <c r="I152" s="439"/>
      <c r="J152" s="439"/>
      <c r="K152" s="439"/>
      <c r="L152" s="439"/>
      <c r="M152" s="439"/>
      <c r="N152" s="439"/>
      <c r="O152" s="439"/>
      <c r="P152" s="439"/>
      <c r="Q152" s="439"/>
    </row>
    <row r="153" spans="1:17" x14ac:dyDescent="0.25">
      <c r="A153" s="1273"/>
      <c r="B153" s="439"/>
      <c r="C153" s="439"/>
      <c r="D153" s="439"/>
      <c r="E153" s="439"/>
      <c r="F153" s="439"/>
      <c r="G153" s="439"/>
      <c r="H153" s="439"/>
      <c r="I153" s="439"/>
      <c r="J153" s="439"/>
      <c r="K153" s="439"/>
      <c r="L153" s="439"/>
      <c r="M153" s="439"/>
      <c r="N153" s="439"/>
      <c r="O153" s="439"/>
      <c r="P153" s="439"/>
      <c r="Q153" s="439"/>
    </row>
    <row r="154" spans="1:17" x14ac:dyDescent="0.25">
      <c r="A154" s="1238"/>
    </row>
    <row r="155" spans="1:17" x14ac:dyDescent="0.25">
      <c r="A155" s="1238"/>
    </row>
    <row r="156" spans="1:17" x14ac:dyDescent="0.25">
      <c r="A156" s="1238"/>
    </row>
    <row r="157" spans="1:17" x14ac:dyDescent="0.25">
      <c r="A157" s="1238"/>
    </row>
    <row r="158" spans="1:17" x14ac:dyDescent="0.25">
      <c r="A158" s="1238"/>
    </row>
    <row r="159" spans="1:17" x14ac:dyDescent="0.25">
      <c r="A159" s="1238"/>
    </row>
    <row r="160" spans="1:17" x14ac:dyDescent="0.25">
      <c r="A160" s="1238"/>
    </row>
    <row r="161" spans="1:1" x14ac:dyDescent="0.25">
      <c r="A161" s="1238"/>
    </row>
    <row r="162" spans="1:1" x14ac:dyDescent="0.25">
      <c r="A162" s="1238"/>
    </row>
    <row r="163" spans="1:1" x14ac:dyDescent="0.25">
      <c r="A163" s="1238"/>
    </row>
    <row r="164" spans="1:1" x14ac:dyDescent="0.25">
      <c r="A164" s="1238"/>
    </row>
    <row r="165" spans="1:1" x14ac:dyDescent="0.25">
      <c r="A165" s="1238"/>
    </row>
    <row r="166" spans="1:1" x14ac:dyDescent="0.25">
      <c r="A166" s="1238"/>
    </row>
    <row r="167" spans="1:1" x14ac:dyDescent="0.25">
      <c r="A167" s="1238"/>
    </row>
    <row r="168" spans="1:1" x14ac:dyDescent="0.25">
      <c r="A168" s="1238"/>
    </row>
    <row r="169" spans="1:1" x14ac:dyDescent="0.25">
      <c r="A169" s="1238"/>
    </row>
    <row r="170" spans="1:1" x14ac:dyDescent="0.25">
      <c r="A170" s="1238"/>
    </row>
    <row r="171" spans="1:1" x14ac:dyDescent="0.25">
      <c r="A171" s="1238"/>
    </row>
    <row r="172" spans="1:1" x14ac:dyDescent="0.25">
      <c r="A172" s="1238"/>
    </row>
    <row r="173" spans="1:1" x14ac:dyDescent="0.25">
      <c r="A173" s="1238"/>
    </row>
    <row r="174" spans="1:1" x14ac:dyDescent="0.25">
      <c r="A174" s="1238"/>
    </row>
    <row r="175" spans="1:1" x14ac:dyDescent="0.25">
      <c r="A175" s="1238"/>
    </row>
    <row r="176" spans="1:1" x14ac:dyDescent="0.25">
      <c r="A176" s="1238"/>
    </row>
    <row r="177" spans="1:1" x14ac:dyDescent="0.25">
      <c r="A177" s="1238"/>
    </row>
    <row r="178" spans="1:1" x14ac:dyDescent="0.25">
      <c r="A178" s="1238"/>
    </row>
    <row r="179" spans="1:1" x14ac:dyDescent="0.25">
      <c r="A179" s="1238"/>
    </row>
    <row r="180" spans="1:1" x14ac:dyDescent="0.25">
      <c r="A180" s="1238"/>
    </row>
    <row r="181" spans="1:1" x14ac:dyDescent="0.25">
      <c r="A181" s="1238"/>
    </row>
    <row r="182" spans="1:1" x14ac:dyDescent="0.25">
      <c r="A182" s="1238"/>
    </row>
    <row r="183" spans="1:1" x14ac:dyDescent="0.25">
      <c r="A183" s="1238"/>
    </row>
    <row r="184" spans="1:1" x14ac:dyDescent="0.25">
      <c r="A184" s="1238"/>
    </row>
    <row r="185" spans="1:1" x14ac:dyDescent="0.25">
      <c r="A185" s="1238"/>
    </row>
    <row r="186" spans="1:1" x14ac:dyDescent="0.25">
      <c r="A186" s="1238"/>
    </row>
    <row r="187" spans="1:1" x14ac:dyDescent="0.25">
      <c r="A187" s="1238"/>
    </row>
    <row r="188" spans="1:1" x14ac:dyDescent="0.25">
      <c r="A188" s="1238"/>
    </row>
    <row r="189" spans="1:1" x14ac:dyDescent="0.25">
      <c r="A189" s="1238"/>
    </row>
    <row r="190" spans="1:1" x14ac:dyDescent="0.25">
      <c r="A190" s="1238"/>
    </row>
    <row r="191" spans="1:1" x14ac:dyDescent="0.25">
      <c r="A191" s="1238"/>
    </row>
    <row r="192" spans="1:1" x14ac:dyDescent="0.25">
      <c r="A192" s="1238"/>
    </row>
    <row r="193" spans="1:1" x14ac:dyDescent="0.25">
      <c r="A193" s="1238"/>
    </row>
    <row r="194" spans="1:1" x14ac:dyDescent="0.25">
      <c r="A194" s="1238"/>
    </row>
    <row r="195" spans="1:1" x14ac:dyDescent="0.25">
      <c r="A195" s="1238"/>
    </row>
    <row r="196" spans="1:1" x14ac:dyDescent="0.25">
      <c r="A196" s="1238"/>
    </row>
    <row r="197" spans="1:1" x14ac:dyDescent="0.25">
      <c r="A197" s="1238"/>
    </row>
    <row r="198" spans="1:1" x14ac:dyDescent="0.25">
      <c r="A198" s="1238"/>
    </row>
    <row r="199" spans="1:1" x14ac:dyDescent="0.25">
      <c r="A199" s="1238"/>
    </row>
    <row r="200" spans="1:1" x14ac:dyDescent="0.25">
      <c r="A200" s="1238"/>
    </row>
    <row r="201" spans="1:1" x14ac:dyDescent="0.25">
      <c r="A201" s="1238"/>
    </row>
    <row r="202" spans="1:1" x14ac:dyDescent="0.25">
      <c r="A202" s="1238"/>
    </row>
    <row r="203" spans="1:1" x14ac:dyDescent="0.25">
      <c r="A203" s="1238"/>
    </row>
    <row r="204" spans="1:1" x14ac:dyDescent="0.25">
      <c r="A204" s="1238"/>
    </row>
    <row r="205" spans="1:1" x14ac:dyDescent="0.25">
      <c r="A205" s="1238"/>
    </row>
    <row r="206" spans="1:1" x14ac:dyDescent="0.25">
      <c r="A206" s="1238"/>
    </row>
    <row r="207" spans="1:1" x14ac:dyDescent="0.25">
      <c r="A207" s="1238"/>
    </row>
    <row r="208" spans="1:1" x14ac:dyDescent="0.25">
      <c r="A208" s="1238"/>
    </row>
    <row r="213" spans="1:1" x14ac:dyDescent="0.25">
      <c r="A213" s="1238"/>
    </row>
    <row r="214" spans="1:1" x14ac:dyDescent="0.25">
      <c r="A214" s="1238"/>
    </row>
    <row r="215" spans="1:1" x14ac:dyDescent="0.25">
      <c r="A215" s="1238"/>
    </row>
    <row r="216" spans="1:1" x14ac:dyDescent="0.25">
      <c r="A216" s="1238"/>
    </row>
    <row r="217" spans="1:1" x14ac:dyDescent="0.25">
      <c r="A217" s="1238"/>
    </row>
    <row r="218" spans="1:1" x14ac:dyDescent="0.25">
      <c r="A218" s="1238"/>
    </row>
    <row r="219" spans="1:1" x14ac:dyDescent="0.25">
      <c r="A219" s="1238"/>
    </row>
    <row r="220" spans="1:1" x14ac:dyDescent="0.25">
      <c r="A220" s="1238"/>
    </row>
    <row r="296" spans="20:22" ht="15.75" thickBot="1" x14ac:dyDescent="0.3"/>
    <row r="297" spans="20:22" x14ac:dyDescent="0.25">
      <c r="T297" s="501" t="str">
        <f t="shared" ref="T297:T306" si="8">B36</f>
        <v>Management</v>
      </c>
      <c r="U297" s="502"/>
      <c r="V297" s="503">
        <f t="shared" ref="V297:V306" si="9">J36</f>
        <v>0.13</v>
      </c>
    </row>
    <row r="298" spans="20:22" x14ac:dyDescent="0.25">
      <c r="T298" s="504" t="str">
        <f t="shared" si="8"/>
        <v>Health &amp; Wellbeing</v>
      </c>
      <c r="U298" s="505"/>
      <c r="V298" s="506">
        <f t="shared" si="9"/>
        <v>0.16</v>
      </c>
    </row>
    <row r="299" spans="20:22" x14ac:dyDescent="0.25">
      <c r="T299" s="504" t="str">
        <f t="shared" si="8"/>
        <v>Energy</v>
      </c>
      <c r="U299" s="505"/>
      <c r="V299" s="506">
        <f t="shared" si="9"/>
        <v>0.14000000000000001</v>
      </c>
    </row>
    <row r="300" spans="20:22" x14ac:dyDescent="0.25">
      <c r="T300" s="504" t="str">
        <f t="shared" si="8"/>
        <v>Transport</v>
      </c>
      <c r="U300" s="505"/>
      <c r="V300" s="506">
        <f t="shared" si="9"/>
        <v>0.1</v>
      </c>
    </row>
    <row r="301" spans="20:22" x14ac:dyDescent="0.25">
      <c r="T301" s="504" t="str">
        <f t="shared" si="8"/>
        <v>Water</v>
      </c>
      <c r="U301" s="505"/>
      <c r="V301" s="506">
        <f t="shared" si="9"/>
        <v>0.04</v>
      </c>
    </row>
    <row r="302" spans="20:22" x14ac:dyDescent="0.25">
      <c r="T302" s="504" t="str">
        <f t="shared" si="8"/>
        <v>Materials</v>
      </c>
      <c r="U302" s="505"/>
      <c r="V302" s="506">
        <f t="shared" si="9"/>
        <v>0.17</v>
      </c>
    </row>
    <row r="303" spans="20:22" x14ac:dyDescent="0.25">
      <c r="T303" s="504" t="str">
        <f t="shared" si="8"/>
        <v>Waste</v>
      </c>
      <c r="U303" s="505"/>
      <c r="V303" s="506">
        <f t="shared" si="9"/>
        <v>7.0000000000000007E-2</v>
      </c>
    </row>
    <row r="304" spans="20:22" x14ac:dyDescent="0.25">
      <c r="T304" s="504" t="str">
        <f t="shared" si="8"/>
        <v>Land Use &amp; Ecology</v>
      </c>
      <c r="U304" s="505"/>
      <c r="V304" s="506">
        <f t="shared" si="9"/>
        <v>0.15</v>
      </c>
    </row>
    <row r="305" spans="20:22" x14ac:dyDescent="0.25">
      <c r="T305" s="504" t="str">
        <f t="shared" si="8"/>
        <v>Pollution</v>
      </c>
      <c r="U305" s="505"/>
      <c r="V305" s="506">
        <f t="shared" si="9"/>
        <v>0.04</v>
      </c>
    </row>
    <row r="306" spans="20:22" ht="15.75" thickBot="1" x14ac:dyDescent="0.3">
      <c r="T306" s="507" t="str">
        <f t="shared" si="8"/>
        <v>Innovation</v>
      </c>
      <c r="U306" s="508"/>
      <c r="V306" s="509">
        <f t="shared" si="9"/>
        <v>0.1</v>
      </c>
    </row>
  </sheetData>
  <sheetProtection algorithmName="SHA-512" hashValue="8RqwkkJD8hCS8nC+hBoo+UZuiqdOXNo6EcNnusxL+FlojegSacg2m0CEpOzMkn1M6njV4JFQU/E1XOqjowtccg==" saltValue="vTnhVIs5jotXSpPGCweavw==" spinCount="100000" sheet="1" objects="1" scenarios="1"/>
  <mergeCells count="23">
    <mergeCell ref="D34:E34"/>
    <mergeCell ref="F34:G34"/>
    <mergeCell ref="H34:I34"/>
    <mergeCell ref="Z10:AN13"/>
    <mergeCell ref="D9:E9"/>
    <mergeCell ref="F9:G9"/>
    <mergeCell ref="H9:I9"/>
    <mergeCell ref="K34:M34"/>
    <mergeCell ref="H8:I8"/>
    <mergeCell ref="H10:I10"/>
    <mergeCell ref="H11:I11"/>
    <mergeCell ref="H13:I13"/>
    <mergeCell ref="D8:E8"/>
    <mergeCell ref="D10:E10"/>
    <mergeCell ref="D11:E11"/>
    <mergeCell ref="D13:E13"/>
    <mergeCell ref="F8:G8"/>
    <mergeCell ref="F10:G10"/>
    <mergeCell ref="F11:G11"/>
    <mergeCell ref="F13:G13"/>
    <mergeCell ref="D12:E12"/>
    <mergeCell ref="F12:G12"/>
    <mergeCell ref="H12:I12"/>
  </mergeCells>
  <conditionalFormatting sqref="K35">
    <cfRule type="expression" dxfId="543" priority="360">
      <formula>$D$9=$AA$37</formula>
    </cfRule>
  </conditionalFormatting>
  <conditionalFormatting sqref="L35">
    <cfRule type="expression" dxfId="542" priority="361">
      <formula>$F$9=$AA$37</formula>
    </cfRule>
  </conditionalFormatting>
  <conditionalFormatting sqref="M35">
    <cfRule type="expression" dxfId="541" priority="362">
      <formula>$H$9=$AA$37</formula>
    </cfRule>
  </conditionalFormatting>
  <conditionalFormatting sqref="D10:E11 D13:E13 D12">
    <cfRule type="expression" dxfId="540" priority="233">
      <formula>$D$9=$AA$37</formula>
    </cfRule>
  </conditionalFormatting>
  <conditionalFormatting sqref="F10:G11 F13:G13 F12">
    <cfRule type="expression" dxfId="539" priority="232">
      <formula>$F$9=$AA$37</formula>
    </cfRule>
  </conditionalFormatting>
  <conditionalFormatting sqref="H10:I11 H13:I13 H12">
    <cfRule type="expression" dxfId="538" priority="231">
      <formula>$H$9=$AA$37</formula>
    </cfRule>
  </conditionalFormatting>
  <conditionalFormatting sqref="D34:E35 K69:K72 K79:K81">
    <cfRule type="expression" dxfId="537" priority="30">
      <formula>$D$9=AD_no</formula>
    </cfRule>
  </conditionalFormatting>
  <conditionalFormatting sqref="F34:G35 L69:L72 L79:L81">
    <cfRule type="expression" dxfId="536" priority="29">
      <formula>$F$9=AD_no</formula>
    </cfRule>
  </conditionalFormatting>
  <conditionalFormatting sqref="H34:I35 M69:M72 M79:M81">
    <cfRule type="expression" dxfId="535" priority="28">
      <formula>$H$9=AD_no</formula>
    </cfRule>
  </conditionalFormatting>
  <conditionalFormatting sqref="D36:E46">
    <cfRule type="expression" dxfId="534" priority="227">
      <formula>$D$9=AD_no</formula>
    </cfRule>
  </conditionalFormatting>
  <conditionalFormatting sqref="F36:G46">
    <cfRule type="expression" dxfId="533" priority="226">
      <formula>$F$9=AD_no</formula>
    </cfRule>
  </conditionalFormatting>
  <conditionalFormatting sqref="K36:K48">
    <cfRule type="expression" dxfId="532" priority="225">
      <formula>$D$9=AD_no</formula>
    </cfRule>
  </conditionalFormatting>
  <conditionalFormatting sqref="L36:L48">
    <cfRule type="expression" dxfId="531" priority="224">
      <formula>$F$9=AD_no</formula>
    </cfRule>
  </conditionalFormatting>
  <conditionalFormatting sqref="H36:I46">
    <cfRule type="expression" dxfId="530" priority="223">
      <formula>$H$9=AD_no</formula>
    </cfRule>
  </conditionalFormatting>
  <conditionalFormatting sqref="M36:M48">
    <cfRule type="expression" dxfId="529" priority="222">
      <formula>$H$9=AD_no</formula>
    </cfRule>
  </conditionalFormatting>
  <conditionalFormatting sqref="K49">
    <cfRule type="expression" dxfId="528" priority="221">
      <formula>$D$9=AD_no</formula>
    </cfRule>
  </conditionalFormatting>
  <conditionalFormatting sqref="L49">
    <cfRule type="expression" dxfId="527" priority="220">
      <formula>$F$9=AD_no</formula>
    </cfRule>
  </conditionalFormatting>
  <conditionalFormatting sqref="M49">
    <cfRule type="expression" dxfId="526" priority="219">
      <formula>$H$9=AD_no</formula>
    </cfRule>
  </conditionalFormatting>
  <conditionalFormatting sqref="K52">
    <cfRule type="expression" dxfId="525" priority="216">
      <formula>$D$9=$AA$37</formula>
    </cfRule>
  </conditionalFormatting>
  <conditionalFormatting sqref="L52">
    <cfRule type="expression" dxfId="524" priority="217">
      <formula>$F$9=$AA$37</formula>
    </cfRule>
  </conditionalFormatting>
  <conditionalFormatting sqref="M52">
    <cfRule type="expression" dxfId="523" priority="218">
      <formula>$H$9=$AA$37</formula>
    </cfRule>
  </conditionalFormatting>
  <conditionalFormatting sqref="K54">
    <cfRule type="expression" dxfId="522" priority="27">
      <formula>$D$9=AD_no</formula>
    </cfRule>
  </conditionalFormatting>
  <conditionalFormatting sqref="L54">
    <cfRule type="expression" dxfId="521" priority="26">
      <formula>$F$9=AD_no</formula>
    </cfRule>
  </conditionalFormatting>
  <conditionalFormatting sqref="M54">
    <cfRule type="expression" dxfId="520" priority="25">
      <formula>$H$9=AD_no</formula>
    </cfRule>
  </conditionalFormatting>
  <conditionalFormatting sqref="J52">
    <cfRule type="expression" dxfId="519" priority="37">
      <formula>$D$9=$AA$37</formula>
    </cfRule>
  </conditionalFormatting>
  <conditionalFormatting sqref="K55">
    <cfRule type="expression" dxfId="518" priority="24">
      <formula>$D$9=AD_no</formula>
    </cfRule>
  </conditionalFormatting>
  <conditionalFormatting sqref="L55">
    <cfRule type="expression" dxfId="517" priority="23">
      <formula>$F$9=AD_no</formula>
    </cfRule>
  </conditionalFormatting>
  <conditionalFormatting sqref="M55">
    <cfRule type="expression" dxfId="516" priority="22">
      <formula>$H$9=AD_no</formula>
    </cfRule>
  </conditionalFormatting>
  <conditionalFormatting sqref="K56">
    <cfRule type="expression" dxfId="515" priority="21">
      <formula>$D$9=AD_no</formula>
    </cfRule>
  </conditionalFormatting>
  <conditionalFormatting sqref="L56">
    <cfRule type="expression" dxfId="514" priority="20">
      <formula>$F$9=AD_no</formula>
    </cfRule>
  </conditionalFormatting>
  <conditionalFormatting sqref="M56">
    <cfRule type="expression" dxfId="513" priority="19">
      <formula>$H$9=AD_no</formula>
    </cfRule>
  </conditionalFormatting>
  <conditionalFormatting sqref="K59">
    <cfRule type="expression" dxfId="512" priority="18">
      <formula>$D$9=AD_no</formula>
    </cfRule>
  </conditionalFormatting>
  <conditionalFormatting sqref="L59">
    <cfRule type="expression" dxfId="511" priority="17">
      <formula>$F$9=AD_no</formula>
    </cfRule>
  </conditionalFormatting>
  <conditionalFormatting sqref="M59">
    <cfRule type="expression" dxfId="510" priority="16">
      <formula>$H$9=AD_no</formula>
    </cfRule>
  </conditionalFormatting>
  <conditionalFormatting sqref="K62:K63">
    <cfRule type="expression" dxfId="509" priority="15">
      <formula>$D$9=AD_no</formula>
    </cfRule>
  </conditionalFormatting>
  <conditionalFormatting sqref="L62:L63">
    <cfRule type="expression" dxfId="508" priority="14">
      <formula>$F$9=AD_no</formula>
    </cfRule>
  </conditionalFormatting>
  <conditionalFormatting sqref="M62:M63">
    <cfRule type="expression" dxfId="507" priority="13">
      <formula>$H$9=AD_no</formula>
    </cfRule>
  </conditionalFormatting>
  <conditionalFormatting sqref="K66">
    <cfRule type="expression" dxfId="506" priority="9">
      <formula>$D$9=AD_no</formula>
    </cfRule>
  </conditionalFormatting>
  <conditionalFormatting sqref="L66">
    <cfRule type="expression" dxfId="505" priority="8">
      <formula>$F$9=AD_no</formula>
    </cfRule>
  </conditionalFormatting>
  <conditionalFormatting sqref="M66">
    <cfRule type="expression" dxfId="504" priority="7">
      <formula>$H$9=AD_no</formula>
    </cfRule>
  </conditionalFormatting>
  <conditionalFormatting sqref="K75:K76">
    <cfRule type="expression" dxfId="503" priority="3">
      <formula>$D$9=AD_no</formula>
    </cfRule>
  </conditionalFormatting>
  <conditionalFormatting sqref="L75:L76">
    <cfRule type="expression" dxfId="502" priority="2">
      <formula>$F$9=AD_no</formula>
    </cfRule>
  </conditionalFormatting>
  <conditionalFormatting sqref="M75:M76">
    <cfRule type="expression" dxfId="501" priority="1">
      <formula>$H$9=AD_no</formula>
    </cfRule>
  </conditionalFormatting>
  <conditionalFormatting sqref="K54:M56 K59:M59 K62:M63 K66:M66 K75:M76 K69:M72 K79:M81">
    <cfRule type="expression" dxfId="500" priority="6889">
      <formula>$J54&lt;&gt;K54</formula>
    </cfRule>
  </conditionalFormatting>
  <conditionalFormatting sqref="K54:K81">
    <cfRule type="expression" dxfId="499" priority="230">
      <formula>K54&gt;J54</formula>
    </cfRule>
  </conditionalFormatting>
  <conditionalFormatting sqref="L54:L81">
    <cfRule type="expression" dxfId="498" priority="229">
      <formula>L54&gt;J54</formula>
    </cfRule>
  </conditionalFormatting>
  <conditionalFormatting sqref="M53:M81">
    <cfRule type="expression" dxfId="497" priority="228">
      <formula>M53&gt;J53</formula>
    </cfRule>
  </conditionalFormatting>
  <dataValidations count="1">
    <dataValidation type="list" allowBlank="1" showInputMessage="1" showErrorMessage="1" sqref="D9 H9 F9" xr:uid="{00000000-0002-0000-0500-000000000000}">
      <formula1>$AA$36:$AA$37</formula1>
    </dataValidation>
  </dataValidations>
  <pageMargins left="0.51181102362204722" right="0.51181102362204722" top="0.35433070866141736" bottom="0.35433070866141736" header="0.31496062992125984" footer="0.31496062992125984"/>
  <pageSetup paperSize="9" scale="65" fitToHeight="2" orientation="landscape" verticalDpi="598"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384"/>
  <sheetViews>
    <sheetView zoomScale="70" zoomScaleNormal="70" zoomScalePageLayoutView="30" workbookViewId="0">
      <pane ySplit="9" topLeftCell="A10" activePane="bottomLeft" state="frozen"/>
      <selection activeCell="H9" sqref="H9:I9"/>
      <selection pane="bottomLeft" activeCell="E20" sqref="E20"/>
    </sheetView>
  </sheetViews>
  <sheetFormatPr defaultColWidth="9.140625" defaultRowHeight="15" x14ac:dyDescent="0.25"/>
  <cols>
    <col min="1" max="1" width="6.28515625" style="387" hidden="1" customWidth="1"/>
    <col min="2" max="2" width="28.5703125" style="387" hidden="1" customWidth="1"/>
    <col min="3" max="3" width="5.7109375" style="387" customWidth="1"/>
    <col min="4" max="4" width="16.7109375" style="387" bestFit="1" customWidth="1"/>
    <col min="5" max="5" width="66.85546875" style="8" customWidth="1"/>
    <col min="6" max="6" width="12.85546875" style="387" bestFit="1" customWidth="1"/>
    <col min="7" max="7" width="15" style="387" customWidth="1"/>
    <col min="8" max="8" width="15.42578125" style="387" bestFit="1" customWidth="1"/>
    <col min="9" max="9" width="22.42578125" style="387" bestFit="1" customWidth="1"/>
    <col min="10" max="10" width="12.85546875" style="387" bestFit="1" customWidth="1"/>
    <col min="11" max="11" width="8.140625" style="387" bestFit="1" customWidth="1"/>
    <col min="12" max="12" width="36.42578125" style="387" customWidth="1"/>
    <col min="13" max="13" width="1.7109375" style="386" customWidth="1"/>
    <col min="14" max="14" width="26.85546875" style="387" customWidth="1"/>
    <col min="15" max="15" width="14.28515625" style="387" bestFit="1" customWidth="1"/>
    <col min="16" max="16" width="21.5703125" style="387" bestFit="1" customWidth="1"/>
    <col min="17" max="17" width="10.7109375" style="387" bestFit="1" customWidth="1"/>
    <col min="18" max="18" width="10.5703125" style="387" bestFit="1" customWidth="1"/>
    <col min="19" max="19" width="20" style="387" bestFit="1" customWidth="1"/>
    <col min="20" max="20" width="3.85546875" style="386" bestFit="1" customWidth="1"/>
    <col min="21" max="21" width="15.42578125" style="387" customWidth="1"/>
    <col min="22" max="22" width="12" style="387" bestFit="1" customWidth="1"/>
    <col min="23" max="23" width="22.42578125" style="387" bestFit="1" customWidth="1"/>
    <col min="24" max="24" width="10.7109375" style="387" bestFit="1" customWidth="1"/>
    <col min="25" max="25" width="10.5703125" style="387" bestFit="1" customWidth="1"/>
    <col min="26" max="26" width="20" style="387" bestFit="1" customWidth="1"/>
    <col min="27" max="27" width="5" style="387" hidden="1" customWidth="1"/>
    <col min="28" max="28" width="16" style="386" hidden="1" customWidth="1"/>
    <col min="29" max="31" width="1.7109375" style="386" hidden="1" customWidth="1"/>
    <col min="32" max="32" width="2.5703125" style="386" hidden="1" customWidth="1"/>
    <col min="33" max="33" width="9.140625" style="387" hidden="1" customWidth="1"/>
    <col min="34" max="34" width="4.28515625" style="387" hidden="1" customWidth="1"/>
    <col min="35" max="36" width="9.140625" style="387" customWidth="1"/>
    <col min="37" max="37" width="11.85546875" style="387" customWidth="1"/>
    <col min="38" max="38" width="2" style="387" customWidth="1"/>
    <col min="39" max="78" width="9.140625" style="387" customWidth="1"/>
    <col min="79" max="16384" width="9.140625" style="387"/>
  </cols>
  <sheetData>
    <row r="1" spans="1:50" ht="48" customHeight="1" x14ac:dyDescent="0.25">
      <c r="A1" s="384"/>
      <c r="B1" s="384"/>
      <c r="C1" s="384"/>
      <c r="D1" s="510"/>
      <c r="E1" s="1214" t="s">
        <v>967</v>
      </c>
      <c r="F1" s="510"/>
      <c r="G1" s="510"/>
      <c r="H1" s="510"/>
      <c r="I1" s="510"/>
      <c r="J1" s="510"/>
      <c r="K1" s="510"/>
      <c r="L1" s="511" t="s">
        <v>331</v>
      </c>
      <c r="M1" s="510"/>
      <c r="N1" s="510"/>
      <c r="O1" s="510"/>
      <c r="P1" s="510"/>
      <c r="Q1" s="510"/>
      <c r="R1" s="510"/>
      <c r="S1" s="510"/>
      <c r="T1" s="510"/>
      <c r="U1" s="510"/>
      <c r="V1" s="510"/>
      <c r="W1" s="510"/>
      <c r="X1" s="510"/>
      <c r="Y1" s="510"/>
      <c r="Z1" s="633" t="str">
        <f>IF('Manuell filtrering og justering'!I2='Manuell filtrering og justering'!J2,"Bespoke","")</f>
        <v/>
      </c>
      <c r="AA1" s="633"/>
      <c r="AB1" s="385"/>
      <c r="AC1" s="364"/>
      <c r="AD1" s="364"/>
      <c r="AE1" s="364"/>
    </row>
    <row r="2" spans="1:50" s="388" customFormat="1" ht="15.75" x14ac:dyDescent="0.25">
      <c r="D2" s="388">
        <v>3</v>
      </c>
      <c r="E2" s="1225">
        <v>5</v>
      </c>
      <c r="F2" s="415">
        <v>6</v>
      </c>
      <c r="G2" s="415">
        <v>7</v>
      </c>
      <c r="H2" s="415">
        <v>8</v>
      </c>
      <c r="I2" s="415">
        <v>9</v>
      </c>
      <c r="J2" s="415">
        <v>10</v>
      </c>
      <c r="K2" s="415">
        <v>11</v>
      </c>
      <c r="L2" s="415">
        <v>12</v>
      </c>
      <c r="M2" s="415"/>
      <c r="N2" s="415">
        <v>14</v>
      </c>
      <c r="O2" s="415">
        <v>15</v>
      </c>
      <c r="P2" s="415">
        <v>16</v>
      </c>
      <c r="Q2" s="415">
        <v>17</v>
      </c>
      <c r="R2" s="415">
        <v>18</v>
      </c>
      <c r="S2" s="415">
        <v>19</v>
      </c>
      <c r="T2" s="415">
        <v>20</v>
      </c>
      <c r="U2" s="415">
        <v>21</v>
      </c>
      <c r="V2" s="415">
        <v>22</v>
      </c>
      <c r="W2" s="415">
        <v>23</v>
      </c>
      <c r="X2" s="415">
        <v>25</v>
      </c>
      <c r="Y2" s="415">
        <v>25</v>
      </c>
      <c r="Z2" s="415">
        <v>26</v>
      </c>
      <c r="AA2" s="415"/>
      <c r="AB2" s="273">
        <v>24</v>
      </c>
      <c r="AC2" s="273"/>
      <c r="AD2" s="273"/>
      <c r="AE2" s="273"/>
      <c r="AF2" s="389"/>
      <c r="AG2" s="390"/>
    </row>
    <row r="3" spans="1:50" ht="26.25" x14ac:dyDescent="0.4">
      <c r="A3" s="95"/>
      <c r="B3" s="95"/>
      <c r="C3" s="95"/>
      <c r="D3" s="398"/>
      <c r="E3" s="1215"/>
      <c r="F3" s="391"/>
      <c r="G3" s="371" t="s">
        <v>215</v>
      </c>
      <c r="H3" s="392"/>
      <c r="I3" s="392"/>
      <c r="J3" s="392"/>
      <c r="K3" s="393"/>
      <c r="L3" s="394"/>
      <c r="M3" s="395"/>
      <c r="N3" s="371" t="s">
        <v>220</v>
      </c>
      <c r="O3" s="371"/>
      <c r="P3" s="371"/>
      <c r="Q3" s="392"/>
      <c r="R3" s="392"/>
      <c r="S3" s="392"/>
      <c r="T3" s="395"/>
      <c r="U3" s="371" t="s">
        <v>221</v>
      </c>
      <c r="V3" s="371"/>
      <c r="W3" s="371"/>
      <c r="X3" s="392"/>
      <c r="Y3" s="392"/>
      <c r="Z3" s="396"/>
      <c r="AA3" s="396"/>
      <c r="AB3" s="688" t="s">
        <v>423</v>
      </c>
      <c r="AC3" s="397"/>
      <c r="AD3" s="397"/>
      <c r="AE3" s="397"/>
    </row>
    <row r="4" spans="1:50" s="401" customFormat="1" x14ac:dyDescent="0.25">
      <c r="A4" s="95"/>
      <c r="B4" s="95"/>
      <c r="C4" s="95"/>
      <c r="D4" s="1216"/>
      <c r="E4" s="1216" t="s">
        <v>392</v>
      </c>
      <c r="F4" s="399"/>
      <c r="G4" s="373" t="s">
        <v>312</v>
      </c>
      <c r="H4" s="374"/>
      <c r="I4" s="375"/>
      <c r="J4" s="376" t="str">
        <f>'Pre-Assessment Estimator'!L4</f>
        <v>Unclassified</v>
      </c>
      <c r="K4" s="377"/>
      <c r="L4" s="381" t="s">
        <v>296</v>
      </c>
      <c r="M4" s="400"/>
      <c r="N4" s="373" t="s">
        <v>312</v>
      </c>
      <c r="O4" s="374"/>
      <c r="P4" s="374"/>
      <c r="Q4" s="374"/>
      <c r="R4" s="374"/>
      <c r="S4" s="377" t="str">
        <f>'Pre-Assessment Estimator'!S4</f>
        <v/>
      </c>
      <c r="T4" s="400"/>
      <c r="U4" s="373" t="s">
        <v>312</v>
      </c>
      <c r="V4" s="374"/>
      <c r="W4" s="374"/>
      <c r="X4" s="374"/>
      <c r="Y4" s="374"/>
      <c r="Z4" s="372" t="str">
        <f>'Pre-Assessment Estimator'!Z4</f>
        <v/>
      </c>
      <c r="AA4" s="690"/>
      <c r="AB4" s="693" t="str">
        <f>IF('Pre-Assessment Estimator'!AJ4=ais_ja,"Option 2: 50% of","")</f>
        <v/>
      </c>
      <c r="AF4" s="386"/>
      <c r="AG4" s="402"/>
      <c r="AP4" s="403"/>
    </row>
    <row r="5" spans="1:50" s="401" customFormat="1" x14ac:dyDescent="0.25">
      <c r="A5" s="95"/>
      <c r="B5" s="95"/>
      <c r="C5" s="95"/>
      <c r="D5" s="1217"/>
      <c r="E5" s="1217" t="str">
        <f>'Pre-Assessment Estimator'!E5</f>
        <v/>
      </c>
      <c r="F5" s="399"/>
      <c r="G5" s="373" t="s">
        <v>84</v>
      </c>
      <c r="H5" s="374"/>
      <c r="I5" s="375"/>
      <c r="J5" s="378">
        <f>'Pre-Assessment Estimator'!L5</f>
        <v>0</v>
      </c>
      <c r="K5" s="379"/>
      <c r="L5" s="381" t="s">
        <v>297</v>
      </c>
      <c r="M5" s="400"/>
      <c r="N5" s="373" t="s">
        <v>84</v>
      </c>
      <c r="O5" s="374"/>
      <c r="P5" s="374"/>
      <c r="Q5" s="374"/>
      <c r="R5" s="374"/>
      <c r="S5" s="377" t="str">
        <f>'Pre-Assessment Estimator'!S5</f>
        <v/>
      </c>
      <c r="T5" s="400"/>
      <c r="U5" s="373" t="s">
        <v>84</v>
      </c>
      <c r="V5" s="374"/>
      <c r="W5" s="374"/>
      <c r="X5" s="374"/>
      <c r="Y5" s="374"/>
      <c r="Z5" s="372" t="str">
        <f>'Pre-Assessment Estimator'!Z5</f>
        <v/>
      </c>
      <c r="AA5" s="691"/>
      <c r="AB5" s="693" t="str">
        <f>IF('Pre-Assessment Estimator'!AJ4=ais_ja,"achieved credit is","")</f>
        <v/>
      </c>
      <c r="AF5" s="386"/>
      <c r="AG5" s="404"/>
    </row>
    <row r="6" spans="1:50" s="401" customFormat="1" x14ac:dyDescent="0.25">
      <c r="A6" s="95"/>
      <c r="B6" s="95"/>
      <c r="C6" s="95"/>
      <c r="D6" s="1218"/>
      <c r="E6" s="1218" t="str">
        <f>'Pre-Assessment Estimator'!E6</f>
        <v>Pre-Assessment Estimator Version: 1.7</v>
      </c>
      <c r="F6" s="399"/>
      <c r="G6" s="373" t="s">
        <v>79</v>
      </c>
      <c r="H6" s="374"/>
      <c r="I6" s="375"/>
      <c r="J6" s="378" t="str">
        <f>'Pre-Assessment Estimator'!L6</f>
        <v>Unclassified &lt;30%</v>
      </c>
      <c r="K6" s="379"/>
      <c r="L6" s="381" t="s">
        <v>298</v>
      </c>
      <c r="M6" s="400"/>
      <c r="N6" s="373" t="s">
        <v>79</v>
      </c>
      <c r="O6" s="374"/>
      <c r="P6" s="374"/>
      <c r="Q6" s="374"/>
      <c r="R6" s="374"/>
      <c r="S6" s="377" t="str">
        <f>'Pre-Assessment Estimator'!S6</f>
        <v/>
      </c>
      <c r="T6" s="400"/>
      <c r="U6" s="373" t="s">
        <v>79</v>
      </c>
      <c r="V6" s="374"/>
      <c r="W6" s="374"/>
      <c r="X6" s="374"/>
      <c r="Y6" s="374"/>
      <c r="Z6" s="372" t="str">
        <f>'Pre-Assessment Estimator'!Z6</f>
        <v/>
      </c>
      <c r="AA6" s="691"/>
      <c r="AB6" s="693"/>
      <c r="AF6" s="386"/>
      <c r="AG6" s="404"/>
    </row>
    <row r="7" spans="1:50" s="401" customFormat="1" x14ac:dyDescent="0.25">
      <c r="A7" s="95"/>
      <c r="B7" s="95"/>
      <c r="C7" s="95"/>
      <c r="D7" s="1218"/>
      <c r="E7" s="1218" t="str">
        <f>'Pre-Assessment Estimator'!E7</f>
        <v>New Construction (fully fitted)</v>
      </c>
      <c r="F7" s="399"/>
      <c r="G7" s="373" t="s">
        <v>977</v>
      </c>
      <c r="H7" s="374"/>
      <c r="I7" s="375"/>
      <c r="J7" s="378" t="str">
        <f>'Pre-Assessment Estimator'!L7</f>
        <v>No</v>
      </c>
      <c r="K7" s="380"/>
      <c r="L7" s="381"/>
      <c r="M7" s="400"/>
      <c r="N7" s="373" t="s">
        <v>977</v>
      </c>
      <c r="O7" s="374"/>
      <c r="P7" s="374"/>
      <c r="Q7" s="374"/>
      <c r="R7" s="374"/>
      <c r="S7" s="377" t="str">
        <f>'Pre-Assessment Estimator'!S7</f>
        <v/>
      </c>
      <c r="T7" s="400"/>
      <c r="U7" s="373" t="s">
        <v>977</v>
      </c>
      <c r="V7" s="374"/>
      <c r="W7" s="374"/>
      <c r="X7" s="374"/>
      <c r="Y7" s="374"/>
      <c r="Z7" s="372" t="str">
        <f>'Pre-Assessment Estimator'!Z7</f>
        <v/>
      </c>
      <c r="AA7" s="692"/>
      <c r="AB7" s="694" t="str">
        <f>IF('Pre-Assessment Estimator'!AJ4=ais_ja,"subtracted from score.","")</f>
        <v/>
      </c>
      <c r="AF7" s="386"/>
      <c r="AG7" s="404"/>
    </row>
    <row r="8" spans="1:50" s="401" customFormat="1" x14ac:dyDescent="0.25">
      <c r="D8" s="1236"/>
      <c r="E8" s="1237" t="str">
        <f>'Pre-Assessment Estimator'!E8</f>
        <v/>
      </c>
      <c r="F8" s="406"/>
      <c r="G8" s="407"/>
      <c r="H8" s="406"/>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row>
    <row r="9" spans="1:50" ht="30.75" x14ac:dyDescent="0.3">
      <c r="A9" s="409" t="s">
        <v>217</v>
      </c>
      <c r="B9" s="409" t="s">
        <v>218</v>
      </c>
      <c r="C9" s="409"/>
      <c r="D9" s="1219"/>
      <c r="E9" s="1219" t="s">
        <v>1017</v>
      </c>
      <c r="F9" s="1203" t="s">
        <v>100</v>
      </c>
      <c r="G9" s="567" t="s">
        <v>42</v>
      </c>
      <c r="H9" s="1204" t="s">
        <v>101</v>
      </c>
      <c r="I9" s="1205" t="s">
        <v>48</v>
      </c>
      <c r="J9" s="1206" t="s">
        <v>299</v>
      </c>
      <c r="K9" s="1207" t="s">
        <v>259</v>
      </c>
      <c r="L9" s="1208" t="s">
        <v>222</v>
      </c>
      <c r="M9" s="1209"/>
      <c r="N9" s="568" t="s">
        <v>42</v>
      </c>
      <c r="O9" s="568" t="s">
        <v>825</v>
      </c>
      <c r="P9" s="568" t="s">
        <v>48</v>
      </c>
      <c r="Q9" s="1210" t="s">
        <v>299</v>
      </c>
      <c r="R9" s="1210" t="s">
        <v>259</v>
      </c>
      <c r="S9" s="1211" t="s">
        <v>260</v>
      </c>
      <c r="T9" s="1212"/>
      <c r="U9" s="568" t="s">
        <v>42</v>
      </c>
      <c r="V9" s="568" t="s">
        <v>825</v>
      </c>
      <c r="W9" s="568" t="s">
        <v>48</v>
      </c>
      <c r="X9" s="1210" t="s">
        <v>299</v>
      </c>
      <c r="Y9" s="1210" t="s">
        <v>259</v>
      </c>
      <c r="Z9" s="1213" t="s">
        <v>260</v>
      </c>
      <c r="AA9" s="695"/>
      <c r="AB9" s="689" t="str">
        <f>IF('Pre-Assessment Estimator'!AJ4=ais_ja,"Compliance?","")</f>
        <v/>
      </c>
      <c r="AT9" s="410"/>
      <c r="AX9" s="405"/>
    </row>
    <row r="10" spans="1:50" ht="18.75" x14ac:dyDescent="0.25">
      <c r="A10" s="823">
        <v>1</v>
      </c>
      <c r="B10" s="823" t="s">
        <v>61</v>
      </c>
      <c r="C10" s="823"/>
      <c r="D10" s="569"/>
      <c r="E10" s="569" t="s">
        <v>61</v>
      </c>
      <c r="F10" s="570"/>
      <c r="G10" s="570"/>
      <c r="H10" s="570"/>
      <c r="I10" s="570"/>
      <c r="J10" s="571"/>
      <c r="K10" s="570"/>
      <c r="L10" s="571"/>
      <c r="M10" s="572"/>
      <c r="N10" s="570"/>
      <c r="O10" s="570"/>
      <c r="P10" s="570"/>
      <c r="Q10" s="571"/>
      <c r="R10" s="570"/>
      <c r="S10" s="571"/>
      <c r="T10" s="573"/>
      <c r="U10" s="570"/>
      <c r="V10" s="570"/>
      <c r="W10" s="570"/>
      <c r="X10" s="571"/>
      <c r="Y10" s="570"/>
      <c r="Z10" s="411"/>
      <c r="AA10" s="696">
        <v>1</v>
      </c>
      <c r="AB10" s="697"/>
      <c r="AF10" s="386">
        <f>IF(F2="",1,IF(F2=0,2,1))</f>
        <v>1</v>
      </c>
      <c r="AH10" s="387" t="s">
        <v>295</v>
      </c>
      <c r="AV10" s="412"/>
    </row>
    <row r="11" spans="1:50" x14ac:dyDescent="0.25">
      <c r="A11" s="823">
        <v>2</v>
      </c>
      <c r="B11" s="1234" t="s">
        <v>61</v>
      </c>
      <c r="C11" s="1234"/>
      <c r="D11" s="1256" t="str">
        <f>VLOOKUP($A11,'Pre-Assessment Estimator'!$A$10:$Z$228,D$2,FALSE)</f>
        <v>Man 01</v>
      </c>
      <c r="E11" s="1256" t="str">
        <f>VLOOKUP($A11,'Pre-Assessment Estimator'!$A$10:$Z$228,E$2,FALSE)</f>
        <v>Man 01 Project brief and design</v>
      </c>
      <c r="F11" s="574">
        <f>VLOOKUP($A11,'Pre-Assessment Estimator'!$A$10:$Z$228,F$2,FALSE)</f>
        <v>5</v>
      </c>
      <c r="G11" s="580" t="str">
        <f>IF(VLOOKUP($A11,'Pre-Assessment Estimator'!$A$10:$Z$228,G$2,FALSE)=0,"",VLOOKUP($A11,'Pre-Assessment Estimator'!$A$10:$Z$228,G$2,FALSE))</f>
        <v/>
      </c>
      <c r="H11" s="1220" t="str">
        <f>VLOOKUP($A11,'Pre-Assessment Estimator'!$A$10:$Z$228,H$2,FALSE)</f>
        <v>0 c. 0 %</v>
      </c>
      <c r="I11" s="576" t="str">
        <f>VLOOKUP($A11,'Pre-Assessment Estimator'!$A$10:$Z$228,I$2,FALSE)</f>
        <v>N/A</v>
      </c>
      <c r="J11" s="577" t="str">
        <f>IF(VLOOKUP($A11,'Pre-Assessment Estimator'!$A$10:$Z$228,J$2,FALSE)=0,"",VLOOKUP($A11,'Pre-Assessment Estimator'!$A$10:$Z$228,J$2,FALSE))</f>
        <v/>
      </c>
      <c r="K11" s="577" t="str">
        <f>IF(VLOOKUP($A11,'Pre-Assessment Estimator'!$A$10:$Z$228,K$2,FALSE)=0,"",VLOOKUP($A11,'Pre-Assessment Estimator'!$A$10:$Z$228,K$2,FALSE))</f>
        <v/>
      </c>
      <c r="L11" s="578" t="str">
        <f>IF(VLOOKUP($A11,'Pre-Assessment Estimator'!$A$10:$Z$228,L$2,FALSE)=0,"",VLOOKUP($A11,'Pre-Assessment Estimator'!$A$10:$Z$228,L$2,FALSE))</f>
        <v/>
      </c>
      <c r="M11" s="579"/>
      <c r="N11" s="580" t="str">
        <f>IF(VLOOKUP($A11,'Pre-Assessment Estimator'!$A$10:$Z$228,N$2,FALSE)=0,"",VLOOKUP($A11,'Pre-Assessment Estimator'!$A$10:$Z$228,N$2,FALSE))</f>
        <v/>
      </c>
      <c r="O11" s="575" t="str">
        <f>VLOOKUP($A11,'Pre-Assessment Estimator'!$A$10:$Z$228,O$2,FALSE)</f>
        <v>0 c. 0 %</v>
      </c>
      <c r="P11" s="574" t="str">
        <f>VLOOKUP($A11,'Pre-Assessment Estimator'!$A$10:$Z$228,P$2,FALSE)</f>
        <v>N/A</v>
      </c>
      <c r="Q11" s="577" t="str">
        <f>IF(VLOOKUP($A11,'Pre-Assessment Estimator'!$A$10:$Z$228,Q$2,FALSE)=0,"",VLOOKUP($A11,'Pre-Assessment Estimator'!$A$10:$Z$228,Q$2,FALSE))</f>
        <v/>
      </c>
      <c r="R11" s="577" t="str">
        <f>IF(VLOOKUP($A11,'Pre-Assessment Estimator'!$A$10:$Z$228,R$2,FALSE)=0,"",VLOOKUP($A11,'Pre-Assessment Estimator'!$A$10:$Z$228,R$2,FALSE))</f>
        <v/>
      </c>
      <c r="S11" s="578" t="str">
        <f>IF(VLOOKUP($A11,'Pre-Assessment Estimator'!$A$10:$Z$228,S$2,FALSE)=0,"",VLOOKUP($A11,'Pre-Assessment Estimator'!$A$10:$Z$228,S$2,FALSE))</f>
        <v/>
      </c>
      <c r="T11" s="581"/>
      <c r="U11" s="580" t="str">
        <f>IF(VLOOKUP($A11,'Pre-Assessment Estimator'!$A$10:$Z$228,U$2,FALSE)=0,"",VLOOKUP($A11,'Pre-Assessment Estimator'!$A$10:$Z$228,U$2,FALSE))</f>
        <v/>
      </c>
      <c r="V11" s="575" t="str">
        <f>VLOOKUP($A11,'Pre-Assessment Estimator'!$A$10:$Z$228,V$2,FALSE)</f>
        <v>0 c. 0 %</v>
      </c>
      <c r="W11" s="574" t="str">
        <f>VLOOKUP($A11,'Pre-Assessment Estimator'!$A$10:$Z$228,W$2,FALSE)</f>
        <v>N/A</v>
      </c>
      <c r="X11" s="577" t="str">
        <f>IF(VLOOKUP($A11,'Pre-Assessment Estimator'!$A$10:$Z$228,X$2,FALSE)=0,"",VLOOKUP($A11,'Pre-Assessment Estimator'!$A$10:$Z$228,X$2,FALSE))</f>
        <v/>
      </c>
      <c r="Y11" s="577" t="str">
        <f>IF(VLOOKUP($A11,'Pre-Assessment Estimator'!$A$10:$Z$228,Y$2,FALSE)=0,"",VLOOKUP($A11,'Pre-Assessment Estimator'!$A$10:$Z$228,Y$2,FALSE))</f>
        <v/>
      </c>
      <c r="Z11" s="370" t="str">
        <f>IF(VLOOKUP($A11,'Pre-Assessment Estimator'!$A$10:$Z$228,Z$2,FALSE)=0,"",VLOOKUP($A11,'Pre-Assessment Estimator'!$A$10:$Z$228,Z$2,FALSE))</f>
        <v/>
      </c>
      <c r="AA11" s="696">
        <v>2</v>
      </c>
      <c r="AB11" s="577" t="str">
        <f>IF(VLOOKUP($A11,'Pre-Assessment Estimator'!$A$10:$AB$228,AB$2,FALSE)=0,"",VLOOKUP($A11,'Pre-Assessment Estimator'!$A$10:$AB$228,AB$2,FALSE))</f>
        <v/>
      </c>
      <c r="AF11" s="386">
        <f>IF(F11="",1,IF(F11=0,2,1))</f>
        <v>1</v>
      </c>
      <c r="AH11" s="387" t="s">
        <v>293</v>
      </c>
    </row>
    <row r="12" spans="1:50" x14ac:dyDescent="0.25">
      <c r="A12" s="823">
        <v>3</v>
      </c>
      <c r="B12" s="1234" t="s">
        <v>61</v>
      </c>
      <c r="C12" s="1234"/>
      <c r="D12" s="1257" t="str">
        <f>VLOOKUP($A12,'Pre-Assessment Estimator'!$A$10:$Z$228,D$2,FALSE)</f>
        <v>Man 01</v>
      </c>
      <c r="E12" s="1258" t="str">
        <f>VLOOKUP($A12,'Pre-Assessment Estimator'!$A$10:$Z$228,E$2,FALSE)</f>
        <v>Planning project delivery</v>
      </c>
      <c r="F12" s="574">
        <f>VLOOKUP($A12,'Pre-Assessment Estimator'!$A$10:$Z$228,F$2,FALSE)</f>
        <v>1</v>
      </c>
      <c r="G12" s="580" t="str">
        <f>IF(VLOOKUP($A12,'Pre-Assessment Estimator'!$A$10:$Z$228,G$2,FALSE)=0,"",VLOOKUP($A12,'Pre-Assessment Estimator'!$A$10:$Z$228,G$2,FALSE))</f>
        <v/>
      </c>
      <c r="H12" s="575">
        <f>VLOOKUP($A12,'Pre-Assessment Estimator'!$A$10:$Z$228,H$2,FALSE)</f>
        <v>0</v>
      </c>
      <c r="I12" s="574" t="str">
        <f>VLOOKUP($A12,'Pre-Assessment Estimator'!$A$10:$Z$228,I$2,FALSE)</f>
        <v>Very Good</v>
      </c>
      <c r="J12" s="577" t="str">
        <f>IF(VLOOKUP($A12,'Pre-Assessment Estimator'!$A$10:$Z$228,J$2,FALSE)=0,"",VLOOKUP($A12,'Pre-Assessment Estimator'!$A$10:$Z$228,J$2,FALSE))</f>
        <v/>
      </c>
      <c r="K12" s="577" t="str">
        <f>IF(VLOOKUP($A12,'Pre-Assessment Estimator'!$A$10:$Z$228,K$2,FALSE)=0,"",VLOOKUP($A12,'Pre-Assessment Estimator'!$A$10:$Z$228,K$2,FALSE))</f>
        <v/>
      </c>
      <c r="L12" s="578" t="str">
        <f>IF(VLOOKUP($A12,'Pre-Assessment Estimator'!$A$10:$Z$228,L$2,FALSE)=0,"",VLOOKUP($A12,'Pre-Assessment Estimator'!$A$10:$Z$228,L$2,FALSE))</f>
        <v/>
      </c>
      <c r="M12" s="579"/>
      <c r="N12" s="580" t="str">
        <f>IF(VLOOKUP($A12,'Pre-Assessment Estimator'!$A$10:$Z$228,N$2,FALSE)=0,"",VLOOKUP($A12,'Pre-Assessment Estimator'!$A$10:$Z$228,N$2,FALSE))</f>
        <v/>
      </c>
      <c r="O12" s="575">
        <f>VLOOKUP($A12,'Pre-Assessment Estimator'!$A$10:$Z$228,O$2,FALSE)</f>
        <v>0</v>
      </c>
      <c r="P12" s="574" t="str">
        <f>VLOOKUP($A12,'Pre-Assessment Estimator'!$A$10:$Z$228,P$2,FALSE)</f>
        <v>Very Good</v>
      </c>
      <c r="Q12" s="577" t="str">
        <f>IF(VLOOKUP($A12,'Pre-Assessment Estimator'!$A$10:$Z$228,Q$2,FALSE)=0,"",VLOOKUP($A12,'Pre-Assessment Estimator'!$A$10:$Z$228,Q$2,FALSE))</f>
        <v/>
      </c>
      <c r="R12" s="577" t="str">
        <f>IF(VLOOKUP($A12,'Pre-Assessment Estimator'!$A$10:$Z$228,R$2,FALSE)=0,"",VLOOKUP($A12,'Pre-Assessment Estimator'!$A$10:$Z$228,R$2,FALSE))</f>
        <v/>
      </c>
      <c r="S12" s="578" t="str">
        <f>IF(VLOOKUP($A12,'Pre-Assessment Estimator'!$A$10:$Z$228,S$2,FALSE)=0,"",VLOOKUP($A12,'Pre-Assessment Estimator'!$A$10:$Z$228,S$2,FALSE))</f>
        <v/>
      </c>
      <c r="T12" s="581"/>
      <c r="U12" s="580" t="str">
        <f>IF(VLOOKUP($A12,'Pre-Assessment Estimator'!$A$10:$Z$228,U$2,FALSE)=0,"",VLOOKUP($A12,'Pre-Assessment Estimator'!$A$10:$Z$228,U$2,FALSE))</f>
        <v/>
      </c>
      <c r="V12" s="575">
        <f>VLOOKUP($A12,'Pre-Assessment Estimator'!$A$10:$Z$228,V$2,FALSE)</f>
        <v>0</v>
      </c>
      <c r="W12" s="574" t="str">
        <f>VLOOKUP($A12,'Pre-Assessment Estimator'!$A$10:$Z$228,W$2,FALSE)</f>
        <v>Very Good</v>
      </c>
      <c r="X12" s="577" t="str">
        <f>IF(VLOOKUP($A12,'Pre-Assessment Estimator'!$A$10:$Z$228,X$2,FALSE)=0,"",VLOOKUP($A12,'Pre-Assessment Estimator'!$A$10:$Z$228,X$2,FALSE))</f>
        <v/>
      </c>
      <c r="Y12" s="577" t="str">
        <f>IF(VLOOKUP($A12,'Pre-Assessment Estimator'!$A$10:$Z$228,Y$2,FALSE)=0,"",VLOOKUP($A12,'Pre-Assessment Estimator'!$A$10:$Z$228,Y$2,FALSE))</f>
        <v/>
      </c>
      <c r="Z12" s="370" t="str">
        <f>IF(VLOOKUP($A12,'Pre-Assessment Estimator'!$A$10:$Z$228,Z$2,FALSE)=0,"",VLOOKUP($A12,'Pre-Assessment Estimator'!$A$10:$Z$228,Z$2,FALSE))</f>
        <v/>
      </c>
      <c r="AA12" s="696">
        <v>3</v>
      </c>
      <c r="AB12" s="577" t="str">
        <f>IF(VLOOKUP($A12,'Pre-Assessment Estimator'!$A$10:$AB$228,AB$2,FALSE)=0,"",VLOOKUP($A12,'Pre-Assessment Estimator'!$A$10:$AB$228,AB$2,FALSE))</f>
        <v/>
      </c>
      <c r="AF12" s="386">
        <f>IF(F12="",1,IF(F12=0,2,1))</f>
        <v>1</v>
      </c>
      <c r="AH12" s="387" t="s">
        <v>294</v>
      </c>
      <c r="AL12" s="413"/>
    </row>
    <row r="13" spans="1:50" x14ac:dyDescent="0.25">
      <c r="A13" s="823">
        <v>4</v>
      </c>
      <c r="B13" s="1234" t="s">
        <v>61</v>
      </c>
      <c r="C13" s="1234"/>
      <c r="D13" s="1257" t="str">
        <f>VLOOKUP($A13,'Pre-Assessment Estimator'!$A$10:$Z$228,D$2,FALSE)</f>
        <v>Man 01</v>
      </c>
      <c r="E13" s="1258" t="str">
        <f>VLOOKUP($A13,'Pre-Assessment Estimator'!$A$10:$Z$228,E$2,FALSE)</f>
        <v>Climate gas calculation for whole building life cycle</v>
      </c>
      <c r="F13" s="574">
        <f>VLOOKUP($A13,'Pre-Assessment Estimator'!$A$10:$Z$228,F$2,FALSE)</f>
        <v>1</v>
      </c>
      <c r="G13" s="580" t="str">
        <f>IF(VLOOKUP($A13,'Pre-Assessment Estimator'!$A$10:$Z$228,G$2,FALSE)=0,"",VLOOKUP($A13,'Pre-Assessment Estimator'!$A$10:$Z$228,G$2,FALSE))</f>
        <v/>
      </c>
      <c r="H13" s="575">
        <f>VLOOKUP($A13,'Pre-Assessment Estimator'!$A$10:$Z$228,H$2,FALSE)</f>
        <v>0</v>
      </c>
      <c r="I13" s="574" t="str">
        <f>VLOOKUP($A13,'Pre-Assessment Estimator'!$A$10:$Z$228,I$2,FALSE)</f>
        <v>Very Good</v>
      </c>
      <c r="J13" s="577" t="str">
        <f>IF(VLOOKUP($A13,'Pre-Assessment Estimator'!$A$10:$Z$228,J$2,FALSE)=0,"",VLOOKUP($A13,'Pre-Assessment Estimator'!$A$10:$Z$228,J$2,FALSE))</f>
        <v/>
      </c>
      <c r="K13" s="577" t="str">
        <f>IF(VLOOKUP($A13,'Pre-Assessment Estimator'!$A$10:$Z$228,K$2,FALSE)=0,"",VLOOKUP($A13,'Pre-Assessment Estimator'!$A$10:$Z$228,K$2,FALSE))</f>
        <v/>
      </c>
      <c r="L13" s="578" t="str">
        <f>IF(VLOOKUP($A13,'Pre-Assessment Estimator'!$A$10:$Z$228,L$2,FALSE)=0,"",VLOOKUP($A13,'Pre-Assessment Estimator'!$A$10:$Z$228,L$2,FALSE))</f>
        <v/>
      </c>
      <c r="M13" s="579"/>
      <c r="N13" s="580" t="str">
        <f>IF(VLOOKUP($A13,'Pre-Assessment Estimator'!$A$10:$Z$228,N$2,FALSE)=0,"",VLOOKUP($A13,'Pre-Assessment Estimator'!$A$10:$Z$228,N$2,FALSE))</f>
        <v/>
      </c>
      <c r="O13" s="575">
        <f>VLOOKUP($A13,'Pre-Assessment Estimator'!$A$10:$Z$228,O$2,FALSE)</f>
        <v>0</v>
      </c>
      <c r="P13" s="574" t="str">
        <f>VLOOKUP($A13,'Pre-Assessment Estimator'!$A$10:$Z$228,P$2,FALSE)</f>
        <v>Very Good</v>
      </c>
      <c r="Q13" s="577" t="str">
        <f>IF(VLOOKUP($A13,'Pre-Assessment Estimator'!$A$10:$Z$228,Q$2,FALSE)=0,"",VLOOKUP($A13,'Pre-Assessment Estimator'!$A$10:$Z$228,Q$2,FALSE))</f>
        <v/>
      </c>
      <c r="R13" s="577" t="str">
        <f>IF(VLOOKUP($A13,'Pre-Assessment Estimator'!$A$10:$Z$228,R$2,FALSE)=0,"",VLOOKUP($A13,'Pre-Assessment Estimator'!$A$10:$Z$228,R$2,FALSE))</f>
        <v/>
      </c>
      <c r="S13" s="578" t="str">
        <f>IF(VLOOKUP($A13,'Pre-Assessment Estimator'!$A$10:$Z$228,S$2,FALSE)=0,"",VLOOKUP($A13,'Pre-Assessment Estimator'!$A$10:$Z$228,S$2,FALSE))</f>
        <v/>
      </c>
      <c r="T13" s="581"/>
      <c r="U13" s="580" t="str">
        <f>IF(VLOOKUP($A13,'Pre-Assessment Estimator'!$A$10:$Z$228,U$2,FALSE)=0,"",VLOOKUP($A13,'Pre-Assessment Estimator'!$A$10:$Z$228,U$2,FALSE))</f>
        <v/>
      </c>
      <c r="V13" s="575">
        <f>VLOOKUP($A13,'Pre-Assessment Estimator'!$A$10:$Z$228,V$2,FALSE)</f>
        <v>0</v>
      </c>
      <c r="W13" s="574" t="str">
        <f>VLOOKUP($A13,'Pre-Assessment Estimator'!$A$10:$Z$228,W$2,FALSE)</f>
        <v>Very Good</v>
      </c>
      <c r="X13" s="577" t="str">
        <f>IF(VLOOKUP($A13,'Pre-Assessment Estimator'!$A$10:$Z$228,X$2,FALSE)=0,"",VLOOKUP($A13,'Pre-Assessment Estimator'!$A$10:$Z$228,X$2,FALSE))</f>
        <v/>
      </c>
      <c r="Y13" s="577" t="str">
        <f>IF(VLOOKUP($A13,'Pre-Assessment Estimator'!$A$10:$Z$228,Y$2,FALSE)=0,"",VLOOKUP($A13,'Pre-Assessment Estimator'!$A$10:$Z$228,Y$2,FALSE))</f>
        <v/>
      </c>
      <c r="Z13" s="370" t="str">
        <f>IF(VLOOKUP($A13,'Pre-Assessment Estimator'!$A$10:$Z$228,Z$2,FALSE)=0,"",VLOOKUP($A13,'Pre-Assessment Estimator'!$A$10:$Z$228,Z$2,FALSE))</f>
        <v/>
      </c>
      <c r="AA13" s="696">
        <v>4</v>
      </c>
      <c r="AB13" s="577" t="str">
        <f>IF(VLOOKUP($A13,'Pre-Assessment Estimator'!$A$10:$AB$228,AB$2,FALSE)=0,"",VLOOKUP($A13,'Pre-Assessment Estimator'!$A$10:$AB$228,AB$2,FALSE))</f>
        <v/>
      </c>
      <c r="AF13" s="386">
        <f>IF(F13="",1,IF(F13=0,2,1))</f>
        <v>1</v>
      </c>
      <c r="AL13" s="413"/>
    </row>
    <row r="14" spans="1:50" x14ac:dyDescent="0.25">
      <c r="A14" s="823">
        <v>5</v>
      </c>
      <c r="B14" s="1234" t="s">
        <v>61</v>
      </c>
      <c r="C14" s="1234"/>
      <c r="D14" s="1257" t="str">
        <f>VLOOKUP($A14,'Pre-Assessment Estimator'!$A$10:$Z$228,D$2,FALSE)</f>
        <v>Man 01</v>
      </c>
      <c r="E14" s="1258" t="str">
        <f>VLOOKUP($A14,'Pre-Assessment Estimator'!$A$10:$Z$228,E$2,FALSE)</f>
        <v>EU taxonomy requirements: criterion 3</v>
      </c>
      <c r="F14" s="574" t="str">
        <f>VLOOKUP($A14,'Pre-Assessment Estimator'!$A$10:$Z$228,F$2,FALSE)</f>
        <v>Yes/No</v>
      </c>
      <c r="G14" s="580" t="str">
        <f>IF(VLOOKUP($A14,'Pre-Assessment Estimator'!$A$10:$Z$228,G$2,FALSE)=0,"",VLOOKUP($A14,'Pre-Assessment Estimator'!$A$10:$Z$228,G$2,FALSE))</f>
        <v/>
      </c>
      <c r="H14" s="575" t="str">
        <f>VLOOKUP($A14,'Pre-Assessment Estimator'!$A$10:$Z$228,H$2,FALSE)</f>
        <v>-</v>
      </c>
      <c r="I14" s="574" t="str">
        <f>VLOOKUP($A14,'Pre-Assessment Estimator'!$A$10:$Z$228,I$2,FALSE)</f>
        <v>N/A</v>
      </c>
      <c r="J14" s="577" t="str">
        <f>IF(VLOOKUP($A14,'Pre-Assessment Estimator'!$A$10:$Z$228,J$2,FALSE)=0,"",VLOOKUP($A14,'Pre-Assessment Estimator'!$A$10:$Z$228,J$2,FALSE))</f>
        <v/>
      </c>
      <c r="K14" s="577" t="str">
        <f>IF(VLOOKUP($A14,'Pre-Assessment Estimator'!$A$10:$Z$228,K$2,FALSE)=0,"",VLOOKUP($A14,'Pre-Assessment Estimator'!$A$10:$Z$228,K$2,FALSE))</f>
        <v xml:space="preserve"> </v>
      </c>
      <c r="L14" s="578" t="str">
        <f>IF(VLOOKUP($A14,'Pre-Assessment Estimator'!$A$10:$Z$228,L$2,FALSE)=0,"",VLOOKUP($A14,'Pre-Assessment Estimator'!$A$10:$Z$228,L$2,FALSE))</f>
        <v/>
      </c>
      <c r="M14" s="579"/>
      <c r="N14" s="580" t="str">
        <f>IF(VLOOKUP($A14,'Pre-Assessment Estimator'!$A$10:$Z$228,N$2,FALSE)=0,"",VLOOKUP($A14,'Pre-Assessment Estimator'!$A$10:$Z$228,N$2,FALSE))</f>
        <v/>
      </c>
      <c r="O14" s="575" t="str">
        <f>VLOOKUP($A14,'Pre-Assessment Estimator'!$A$10:$Z$228,O$2,FALSE)</f>
        <v>-</v>
      </c>
      <c r="P14" s="574" t="str">
        <f>VLOOKUP($A14,'Pre-Assessment Estimator'!$A$10:$Z$228,P$2,FALSE)</f>
        <v>N/A</v>
      </c>
      <c r="Q14" s="577" t="str">
        <f>IF(VLOOKUP($A14,'Pre-Assessment Estimator'!$A$10:$Z$228,Q$2,FALSE)=0,"",VLOOKUP($A14,'Pre-Assessment Estimator'!$A$10:$Z$228,Q$2,FALSE))</f>
        <v/>
      </c>
      <c r="R14" s="577" t="str">
        <f>IF(VLOOKUP($A14,'Pre-Assessment Estimator'!$A$10:$Z$228,R$2,FALSE)=0,"",VLOOKUP($A14,'Pre-Assessment Estimator'!$A$10:$Z$228,R$2,FALSE))</f>
        <v/>
      </c>
      <c r="S14" s="578" t="str">
        <f>IF(VLOOKUP($A14,'Pre-Assessment Estimator'!$A$10:$Z$228,S$2,FALSE)=0,"",VLOOKUP($A14,'Pre-Assessment Estimator'!$A$10:$Z$228,S$2,FALSE))</f>
        <v/>
      </c>
      <c r="T14" s="581"/>
      <c r="U14" s="580" t="str">
        <f>IF(VLOOKUP($A14,'Pre-Assessment Estimator'!$A$10:$Z$228,U$2,FALSE)=0,"",VLOOKUP($A14,'Pre-Assessment Estimator'!$A$10:$Z$228,U$2,FALSE))</f>
        <v/>
      </c>
      <c r="V14" s="575" t="str">
        <f>VLOOKUP($A14,'Pre-Assessment Estimator'!$A$10:$Z$228,V$2,FALSE)</f>
        <v>-</v>
      </c>
      <c r="W14" s="574" t="str">
        <f>VLOOKUP($A14,'Pre-Assessment Estimator'!$A$10:$Z$228,W$2,FALSE)</f>
        <v>N/A</v>
      </c>
      <c r="X14" s="577" t="str">
        <f>IF(VLOOKUP($A14,'Pre-Assessment Estimator'!$A$10:$Z$228,X$2,FALSE)=0,"",VLOOKUP($A14,'Pre-Assessment Estimator'!$A$10:$Z$228,X$2,FALSE))</f>
        <v/>
      </c>
      <c r="Y14" s="577" t="str">
        <f>IF(VLOOKUP($A14,'Pre-Assessment Estimator'!$A$10:$Z$228,Y$2,FALSE)=0,"",VLOOKUP($A14,'Pre-Assessment Estimator'!$A$10:$Z$228,Y$2,FALSE))</f>
        <v/>
      </c>
      <c r="Z14" s="370" t="str">
        <f>IF(VLOOKUP($A14,'Pre-Assessment Estimator'!$A$10:$Z$228,Z$2,FALSE)=0,"",VLOOKUP($A14,'Pre-Assessment Estimator'!$A$10:$Z$228,Z$2,FALSE))</f>
        <v/>
      </c>
      <c r="AA14" s="696"/>
      <c r="AB14" s="577"/>
      <c r="AL14" s="413"/>
    </row>
    <row r="15" spans="1:50" x14ac:dyDescent="0.25">
      <c r="A15" s="823">
        <v>6</v>
      </c>
      <c r="B15" s="1234" t="s">
        <v>61</v>
      </c>
      <c r="C15" s="1234"/>
      <c r="D15" s="1257" t="str">
        <f>VLOOKUP($A15,'Pre-Assessment Estimator'!$A$10:$Z$228,D$2,FALSE)</f>
        <v>Man 01</v>
      </c>
      <c r="E15" s="1258" t="str">
        <f>VLOOKUP($A15,'Pre-Assessment Estimator'!$A$10:$Z$228,E$2,FALSE)</f>
        <v>Third party stakeholder consultation</v>
      </c>
      <c r="F15" s="574">
        <f>VLOOKUP($A15,'Pre-Assessment Estimator'!$A$10:$Z$228,F$2,FALSE)</f>
        <v>1</v>
      </c>
      <c r="G15" s="580" t="str">
        <f>IF(VLOOKUP($A15,'Pre-Assessment Estimator'!$A$10:$Z$228,G$2,FALSE)=0,"",VLOOKUP($A15,'Pre-Assessment Estimator'!$A$10:$Z$228,G$2,FALSE))</f>
        <v/>
      </c>
      <c r="H15" s="575">
        <f>VLOOKUP($A15,'Pre-Assessment Estimator'!$A$10:$Z$228,H$2,FALSE)</f>
        <v>0</v>
      </c>
      <c r="I15" s="574" t="str">
        <f>VLOOKUP($A15,'Pre-Assessment Estimator'!$A$10:$Z$228,I$2,FALSE)</f>
        <v>N/A</v>
      </c>
      <c r="J15" s="577" t="str">
        <f>IF(VLOOKUP($A15,'Pre-Assessment Estimator'!$A$10:$Z$228,J$2,FALSE)=0,"",VLOOKUP($A15,'Pre-Assessment Estimator'!$A$10:$Z$228,J$2,FALSE))</f>
        <v/>
      </c>
      <c r="K15" s="577" t="str">
        <f>IF(VLOOKUP($A15,'Pre-Assessment Estimator'!$A$10:$Z$228,K$2,FALSE)=0,"",VLOOKUP($A15,'Pre-Assessment Estimator'!$A$10:$Z$228,K$2,FALSE))</f>
        <v/>
      </c>
      <c r="L15" s="578" t="str">
        <f>IF(VLOOKUP($A15,'Pre-Assessment Estimator'!$A$10:$Z$228,L$2,FALSE)=0,"",VLOOKUP($A15,'Pre-Assessment Estimator'!$A$10:$Z$228,L$2,FALSE))</f>
        <v/>
      </c>
      <c r="M15" s="579"/>
      <c r="N15" s="580" t="str">
        <f>IF(VLOOKUP($A15,'Pre-Assessment Estimator'!$A$10:$Z$228,N$2,FALSE)=0,"",VLOOKUP($A15,'Pre-Assessment Estimator'!$A$10:$Z$228,N$2,FALSE))</f>
        <v/>
      </c>
      <c r="O15" s="575">
        <f>VLOOKUP($A15,'Pre-Assessment Estimator'!$A$10:$Z$228,O$2,FALSE)</f>
        <v>0</v>
      </c>
      <c r="P15" s="574" t="str">
        <f>VLOOKUP($A15,'Pre-Assessment Estimator'!$A$10:$Z$228,P$2,FALSE)</f>
        <v>N/A</v>
      </c>
      <c r="Q15" s="577" t="str">
        <f>IF(VLOOKUP($A15,'Pre-Assessment Estimator'!$A$10:$Z$228,Q$2,FALSE)=0,"",VLOOKUP($A15,'Pre-Assessment Estimator'!$A$10:$Z$228,Q$2,FALSE))</f>
        <v/>
      </c>
      <c r="R15" s="577" t="str">
        <f>IF(VLOOKUP($A15,'Pre-Assessment Estimator'!$A$10:$Z$228,R$2,FALSE)=0,"",VLOOKUP($A15,'Pre-Assessment Estimator'!$A$10:$Z$228,R$2,FALSE))</f>
        <v/>
      </c>
      <c r="S15" s="578" t="str">
        <f>IF(VLOOKUP($A15,'Pre-Assessment Estimator'!$A$10:$Z$228,S$2,FALSE)=0,"",VLOOKUP($A15,'Pre-Assessment Estimator'!$A$10:$Z$228,S$2,FALSE))</f>
        <v/>
      </c>
      <c r="T15" s="581"/>
      <c r="U15" s="580" t="str">
        <f>IF(VLOOKUP($A15,'Pre-Assessment Estimator'!$A$10:$Z$228,U$2,FALSE)=0,"",VLOOKUP($A15,'Pre-Assessment Estimator'!$A$10:$Z$228,U$2,FALSE))</f>
        <v/>
      </c>
      <c r="V15" s="575">
        <f>VLOOKUP($A15,'Pre-Assessment Estimator'!$A$10:$Z$228,V$2,FALSE)</f>
        <v>0</v>
      </c>
      <c r="W15" s="574" t="str">
        <f>VLOOKUP($A15,'Pre-Assessment Estimator'!$A$10:$Z$228,W$2,FALSE)</f>
        <v>N/A</v>
      </c>
      <c r="X15" s="577" t="str">
        <f>IF(VLOOKUP($A15,'Pre-Assessment Estimator'!$A$10:$Z$228,X$2,FALSE)=0,"",VLOOKUP($A15,'Pre-Assessment Estimator'!$A$10:$Z$228,X$2,FALSE))</f>
        <v xml:space="preserve"> </v>
      </c>
      <c r="Y15" s="577" t="str">
        <f>IF(VLOOKUP($A15,'Pre-Assessment Estimator'!$A$10:$Z$228,Y$2,FALSE)=0,"",VLOOKUP($A15,'Pre-Assessment Estimator'!$A$10:$Z$228,Y$2,FALSE))</f>
        <v xml:space="preserve"> </v>
      </c>
      <c r="Z15" s="370" t="str">
        <f>IF(VLOOKUP($A15,'Pre-Assessment Estimator'!$A$10:$Z$228,Z$2,FALSE)=0,"",VLOOKUP($A15,'Pre-Assessment Estimator'!$A$10:$Z$228,Z$2,FALSE))</f>
        <v/>
      </c>
      <c r="AA15" s="696">
        <v>5</v>
      </c>
      <c r="AB15" s="577" t="str">
        <f>IF(VLOOKUP($A15,'Pre-Assessment Estimator'!$A$10:$AB$228,AB$2,FALSE)=0,"",VLOOKUP($A15,'Pre-Assessment Estimator'!$A$10:$AB$228,AB$2,FALSE))</f>
        <v/>
      </c>
      <c r="AF15" s="386">
        <f>IF(F15="",1,IF(F15=0,2,1))</f>
        <v>1</v>
      </c>
      <c r="AL15" s="413"/>
      <c r="AN15" s="412"/>
    </row>
    <row r="16" spans="1:50" x14ac:dyDescent="0.25">
      <c r="A16" s="823">
        <v>7</v>
      </c>
      <c r="B16" s="1234" t="s">
        <v>61</v>
      </c>
      <c r="C16" s="1234"/>
      <c r="D16" s="1257" t="str">
        <f>VLOOKUP($A16,'Pre-Assessment Estimator'!$A$10:$Z$228,D$2,FALSE)</f>
        <v>Man 01</v>
      </c>
      <c r="E16" s="1258" t="str">
        <f>VLOOKUP($A16,'Pre-Assessment Estimator'!$A$10:$Z$228,E$2,FALSE)</f>
        <v>BREEAM-NOR AP (stage 2 and 3)</v>
      </c>
      <c r="F16" s="574">
        <f>VLOOKUP($A16,'Pre-Assessment Estimator'!$A$10:$Z$228,F$2,FALSE)</f>
        <v>1</v>
      </c>
      <c r="G16" s="580" t="str">
        <f>IF(VLOOKUP($A16,'Pre-Assessment Estimator'!$A$10:$Z$228,G$2,FALSE)=0,"",VLOOKUP($A16,'Pre-Assessment Estimator'!$A$10:$Z$228,G$2,FALSE))</f>
        <v/>
      </c>
      <c r="H16" s="575">
        <f>VLOOKUP($A16,'Pre-Assessment Estimator'!$A$10:$Z$228,H$2,FALSE)</f>
        <v>0</v>
      </c>
      <c r="I16" s="574" t="str">
        <f>VLOOKUP($A16,'Pre-Assessment Estimator'!$A$10:$Z$228,I$2,FALSE)</f>
        <v>N/A</v>
      </c>
      <c r="J16" s="577" t="str">
        <f>IF(VLOOKUP($A16,'Pre-Assessment Estimator'!$A$10:$Z$228,J$2,FALSE)=0,"",VLOOKUP($A16,'Pre-Assessment Estimator'!$A$10:$Z$228,J$2,FALSE))</f>
        <v/>
      </c>
      <c r="K16" s="577" t="str">
        <f>IF(VLOOKUP($A16,'Pre-Assessment Estimator'!$A$10:$Z$228,K$2,FALSE)=0,"",VLOOKUP($A16,'Pre-Assessment Estimator'!$A$10:$Z$228,K$2,FALSE))</f>
        <v/>
      </c>
      <c r="L16" s="578" t="str">
        <f>IF(VLOOKUP($A16,'Pre-Assessment Estimator'!$A$10:$Z$228,L$2,FALSE)=0,"",VLOOKUP($A16,'Pre-Assessment Estimator'!$A$10:$Z$228,L$2,FALSE))</f>
        <v/>
      </c>
      <c r="M16" s="579"/>
      <c r="N16" s="580" t="str">
        <f>IF(VLOOKUP($A16,'Pre-Assessment Estimator'!$A$10:$Z$228,N$2,FALSE)=0,"",VLOOKUP($A16,'Pre-Assessment Estimator'!$A$10:$Z$228,N$2,FALSE))</f>
        <v/>
      </c>
      <c r="O16" s="575">
        <f>VLOOKUP($A16,'Pre-Assessment Estimator'!$A$10:$Z$228,O$2,FALSE)</f>
        <v>0</v>
      </c>
      <c r="P16" s="574" t="str">
        <f>VLOOKUP($A16,'Pre-Assessment Estimator'!$A$10:$Z$228,P$2,FALSE)</f>
        <v>N/A</v>
      </c>
      <c r="Q16" s="577" t="str">
        <f>IF(VLOOKUP($A16,'Pre-Assessment Estimator'!$A$10:$Z$228,Q$2,FALSE)=0,"",VLOOKUP($A16,'Pre-Assessment Estimator'!$A$10:$Z$228,Q$2,FALSE))</f>
        <v/>
      </c>
      <c r="R16" s="577" t="str">
        <f>IF(VLOOKUP($A16,'Pre-Assessment Estimator'!$A$10:$Z$228,R$2,FALSE)=0,"",VLOOKUP($A16,'Pre-Assessment Estimator'!$A$10:$Z$228,R$2,FALSE))</f>
        <v/>
      </c>
      <c r="S16" s="578" t="str">
        <f>IF(VLOOKUP($A16,'Pre-Assessment Estimator'!$A$10:$Z$228,S$2,FALSE)=0,"",VLOOKUP($A16,'Pre-Assessment Estimator'!$A$10:$Z$228,S$2,FALSE))</f>
        <v/>
      </c>
      <c r="T16" s="581"/>
      <c r="U16" s="580" t="str">
        <f>IF(VLOOKUP($A16,'Pre-Assessment Estimator'!$A$10:$Z$228,U$2,FALSE)=0,"",VLOOKUP($A16,'Pre-Assessment Estimator'!$A$10:$Z$228,U$2,FALSE))</f>
        <v/>
      </c>
      <c r="V16" s="575">
        <f>VLOOKUP($A16,'Pre-Assessment Estimator'!$A$10:$Z$228,V$2,FALSE)</f>
        <v>0</v>
      </c>
      <c r="W16" s="574" t="str">
        <f>VLOOKUP($A16,'Pre-Assessment Estimator'!$A$10:$Z$228,W$2,FALSE)</f>
        <v>N/A</v>
      </c>
      <c r="X16" s="577" t="str">
        <f>IF(VLOOKUP($A16,'Pre-Assessment Estimator'!$A$10:$Z$228,X$2,FALSE)=0,"",VLOOKUP($A16,'Pre-Assessment Estimator'!$A$10:$Z$228,X$2,FALSE))</f>
        <v/>
      </c>
      <c r="Y16" s="577" t="str">
        <f>IF(VLOOKUP($A16,'Pre-Assessment Estimator'!$A$10:$Z$228,Y$2,FALSE)=0,"",VLOOKUP($A16,'Pre-Assessment Estimator'!$A$10:$Z$228,Y$2,FALSE))</f>
        <v/>
      </c>
      <c r="Z16" s="370" t="str">
        <f>IF(VLOOKUP($A16,'Pre-Assessment Estimator'!$A$10:$Z$228,Z$2,FALSE)=0,"",VLOOKUP($A16,'Pre-Assessment Estimator'!$A$10:$Z$228,Z$2,FALSE))</f>
        <v/>
      </c>
      <c r="AA16" s="696">
        <v>6</v>
      </c>
      <c r="AB16" s="577" t="str">
        <f>IF(VLOOKUP($A16,'Pre-Assessment Estimator'!$A$10:$AB$228,AB$2,FALSE)=0,"",VLOOKUP($A16,'Pre-Assessment Estimator'!$A$10:$AB$228,AB$2,FALSE))</f>
        <v/>
      </c>
      <c r="AF16" s="386">
        <f>IF(F16="",1,IF(F16=0,2,1))</f>
        <v>1</v>
      </c>
      <c r="AG16" s="414"/>
      <c r="AL16" s="413"/>
    </row>
    <row r="17" spans="1:38" x14ac:dyDescent="0.25">
      <c r="A17" s="823">
        <v>8</v>
      </c>
      <c r="B17" s="1234" t="s">
        <v>61</v>
      </c>
      <c r="C17" s="1234"/>
      <c r="D17" s="1257" t="str">
        <f>VLOOKUP($A17,'Pre-Assessment Estimator'!$A$10:$Z$228,D$2,FALSE)</f>
        <v>Man 01</v>
      </c>
      <c r="E17" s="1258" t="str">
        <f>VLOOKUP($A17,'Pre-Assessment Estimator'!$A$10:$Z$228,E$2,FALSE)</f>
        <v>BREEAM-NOR AP (stage 4)</v>
      </c>
      <c r="F17" s="574">
        <f>VLOOKUP($A17,'Pre-Assessment Estimator'!$A$10:$Z$228,F$2,FALSE)</f>
        <v>1</v>
      </c>
      <c r="G17" s="580" t="str">
        <f>IF(VLOOKUP($A17,'Pre-Assessment Estimator'!$A$10:$Z$228,G$2,FALSE)=0,"",VLOOKUP($A17,'Pre-Assessment Estimator'!$A$10:$Z$228,G$2,FALSE))</f>
        <v/>
      </c>
      <c r="H17" s="575">
        <f>VLOOKUP($A17,'Pre-Assessment Estimator'!$A$10:$Z$228,H$2,FALSE)</f>
        <v>0</v>
      </c>
      <c r="I17" s="574" t="str">
        <f>VLOOKUP($A17,'Pre-Assessment Estimator'!$A$10:$Z$228,I$2,FALSE)</f>
        <v>N/A</v>
      </c>
      <c r="J17" s="577" t="str">
        <f>IF(VLOOKUP($A17,'Pre-Assessment Estimator'!$A$10:$Z$228,J$2,FALSE)=0,"",VLOOKUP($A17,'Pre-Assessment Estimator'!$A$10:$Z$228,J$2,FALSE))</f>
        <v/>
      </c>
      <c r="K17" s="577" t="str">
        <f>IF(VLOOKUP($A17,'Pre-Assessment Estimator'!$A$10:$Z$228,K$2,FALSE)=0,"",VLOOKUP($A17,'Pre-Assessment Estimator'!$A$10:$Z$228,K$2,FALSE))</f>
        <v/>
      </c>
      <c r="L17" s="578" t="str">
        <f>IF(VLOOKUP($A17,'Pre-Assessment Estimator'!$A$10:$Z$228,L$2,FALSE)=0,"",VLOOKUP($A17,'Pre-Assessment Estimator'!$A$10:$Z$228,L$2,FALSE))</f>
        <v/>
      </c>
      <c r="M17" s="579"/>
      <c r="N17" s="580" t="str">
        <f>IF(VLOOKUP($A17,'Pre-Assessment Estimator'!$A$10:$Z$228,N$2,FALSE)=0,"",VLOOKUP($A17,'Pre-Assessment Estimator'!$A$10:$Z$228,N$2,FALSE))</f>
        <v/>
      </c>
      <c r="O17" s="575">
        <f>VLOOKUP($A17,'Pre-Assessment Estimator'!$A$10:$Z$228,O$2,FALSE)</f>
        <v>0</v>
      </c>
      <c r="P17" s="574" t="str">
        <f>VLOOKUP($A17,'Pre-Assessment Estimator'!$A$10:$Z$228,P$2,FALSE)</f>
        <v>N/A</v>
      </c>
      <c r="Q17" s="577" t="str">
        <f>IF(VLOOKUP($A17,'Pre-Assessment Estimator'!$A$10:$Z$228,Q$2,FALSE)=0,"",VLOOKUP($A17,'Pre-Assessment Estimator'!$A$10:$Z$228,Q$2,FALSE))</f>
        <v/>
      </c>
      <c r="R17" s="577" t="str">
        <f>IF(VLOOKUP($A17,'Pre-Assessment Estimator'!$A$10:$Z$228,R$2,FALSE)=0,"",VLOOKUP($A17,'Pre-Assessment Estimator'!$A$10:$Z$228,R$2,FALSE))</f>
        <v/>
      </c>
      <c r="S17" s="578" t="str">
        <f>IF(VLOOKUP($A17,'Pre-Assessment Estimator'!$A$10:$Z$228,S$2,FALSE)=0,"",VLOOKUP($A17,'Pre-Assessment Estimator'!$A$10:$Z$228,S$2,FALSE))</f>
        <v/>
      </c>
      <c r="T17" s="581"/>
      <c r="U17" s="580" t="str">
        <f>IF(VLOOKUP($A17,'Pre-Assessment Estimator'!$A$10:$Z$228,U$2,FALSE)=0,"",VLOOKUP($A17,'Pre-Assessment Estimator'!$A$10:$Z$228,U$2,FALSE))</f>
        <v/>
      </c>
      <c r="V17" s="575">
        <f>VLOOKUP($A17,'Pre-Assessment Estimator'!$A$10:$Z$228,V$2,FALSE)</f>
        <v>0</v>
      </c>
      <c r="W17" s="574" t="str">
        <f>VLOOKUP($A17,'Pre-Assessment Estimator'!$A$10:$Z$228,W$2,FALSE)</f>
        <v>N/A</v>
      </c>
      <c r="X17" s="577" t="str">
        <f>IF(VLOOKUP($A17,'Pre-Assessment Estimator'!$A$10:$Z$228,X$2,FALSE)=0,"",VLOOKUP($A17,'Pre-Assessment Estimator'!$A$10:$Z$228,X$2,FALSE))</f>
        <v/>
      </c>
      <c r="Y17" s="577" t="str">
        <f>IF(VLOOKUP($A17,'Pre-Assessment Estimator'!$A$10:$Z$228,Y$2,FALSE)=0,"",VLOOKUP($A17,'Pre-Assessment Estimator'!$A$10:$Z$228,Y$2,FALSE))</f>
        <v/>
      </c>
      <c r="Z17" s="370" t="str">
        <f>IF(VLOOKUP($A17,'Pre-Assessment Estimator'!$A$10:$Z$228,Z$2,FALSE)=0,"",VLOOKUP($A17,'Pre-Assessment Estimator'!$A$10:$Z$228,Z$2,FALSE))</f>
        <v/>
      </c>
      <c r="AA17" s="696">
        <v>7</v>
      </c>
      <c r="AB17" s="577"/>
      <c r="AF17" s="386">
        <f t="shared" ref="AF17:AF83" si="0">IF(F17="",1,IF(F17=0,2,1))</f>
        <v>1</v>
      </c>
      <c r="AG17" s="414"/>
      <c r="AL17" s="413"/>
    </row>
    <row r="18" spans="1:38" x14ac:dyDescent="0.25">
      <c r="A18" s="823">
        <v>9</v>
      </c>
      <c r="B18" s="1234" t="s">
        <v>61</v>
      </c>
      <c r="C18" s="1234"/>
      <c r="D18" s="1256" t="str">
        <f>VLOOKUP($A18,'Pre-Assessment Estimator'!$A$10:$Z$228,D$2,FALSE)</f>
        <v>Man 02</v>
      </c>
      <c r="E18" s="1256" t="str">
        <f>VLOOKUP($A18,'Pre-Assessment Estimator'!$A$10:$Z$228,E$2,FALSE)</f>
        <v>Man 02 Life cycle cost and service life planning</v>
      </c>
      <c r="F18" s="574">
        <f>VLOOKUP($A18,'Pre-Assessment Estimator'!$A$10:$Z$228,F$2,FALSE)</f>
        <v>3</v>
      </c>
      <c r="G18" s="580" t="str">
        <f>IF(VLOOKUP($A18,'Pre-Assessment Estimator'!$A$10:$Z$228,G$2,FALSE)=0,"",VLOOKUP($A18,'Pre-Assessment Estimator'!$A$10:$Z$228,G$2,FALSE))</f>
        <v/>
      </c>
      <c r="H18" s="575" t="str">
        <f>VLOOKUP($A18,'Pre-Assessment Estimator'!$A$10:$Z$228,H$2,FALSE)</f>
        <v>0 c. 0 %</v>
      </c>
      <c r="I18" s="574" t="str">
        <f>VLOOKUP($A18,'Pre-Assessment Estimator'!$A$10:$Z$228,I$2,FALSE)</f>
        <v>N/A</v>
      </c>
      <c r="J18" s="577" t="str">
        <f>IF(VLOOKUP($A18,'Pre-Assessment Estimator'!$A$10:$Z$228,J$2,FALSE)=0,"",VLOOKUP($A18,'Pre-Assessment Estimator'!$A$10:$Z$228,J$2,FALSE))</f>
        <v/>
      </c>
      <c r="K18" s="577" t="str">
        <f>IF(VLOOKUP($A18,'Pre-Assessment Estimator'!$A$10:$Z$228,K$2,FALSE)=0,"",VLOOKUP($A18,'Pre-Assessment Estimator'!$A$10:$Z$228,K$2,FALSE))</f>
        <v/>
      </c>
      <c r="L18" s="578" t="str">
        <f>IF(VLOOKUP($A18,'Pre-Assessment Estimator'!$A$10:$Z$228,L$2,FALSE)=0,"",VLOOKUP($A18,'Pre-Assessment Estimator'!$A$10:$Z$228,L$2,FALSE))</f>
        <v/>
      </c>
      <c r="M18" s="579"/>
      <c r="N18" s="580" t="str">
        <f>IF(VLOOKUP($A18,'Pre-Assessment Estimator'!$A$10:$Z$228,N$2,FALSE)=0,"",VLOOKUP($A18,'Pre-Assessment Estimator'!$A$10:$Z$228,N$2,FALSE))</f>
        <v/>
      </c>
      <c r="O18" s="575" t="str">
        <f>VLOOKUP($A18,'Pre-Assessment Estimator'!$A$10:$Z$228,O$2,FALSE)</f>
        <v>0 c. 0 %</v>
      </c>
      <c r="P18" s="574" t="str">
        <f>VLOOKUP($A18,'Pre-Assessment Estimator'!$A$10:$Z$228,P$2,FALSE)</f>
        <v>N/A</v>
      </c>
      <c r="Q18" s="577" t="str">
        <f>IF(VLOOKUP($A18,'Pre-Assessment Estimator'!$A$10:$Z$228,Q$2,FALSE)=0,"",VLOOKUP($A18,'Pre-Assessment Estimator'!$A$10:$Z$228,Q$2,FALSE))</f>
        <v/>
      </c>
      <c r="R18" s="577" t="str">
        <f>IF(VLOOKUP($A18,'Pre-Assessment Estimator'!$A$10:$Z$228,R$2,FALSE)=0,"",VLOOKUP($A18,'Pre-Assessment Estimator'!$A$10:$Z$228,R$2,FALSE))</f>
        <v/>
      </c>
      <c r="S18" s="578" t="str">
        <f>IF(VLOOKUP($A18,'Pre-Assessment Estimator'!$A$10:$Z$228,S$2,FALSE)=0,"",VLOOKUP($A18,'Pre-Assessment Estimator'!$A$10:$Z$228,S$2,FALSE))</f>
        <v/>
      </c>
      <c r="T18" s="581"/>
      <c r="U18" s="580" t="str">
        <f>IF(VLOOKUP($A18,'Pre-Assessment Estimator'!$A$10:$Z$228,U$2,FALSE)=0,"",VLOOKUP($A18,'Pre-Assessment Estimator'!$A$10:$Z$228,U$2,FALSE))</f>
        <v/>
      </c>
      <c r="V18" s="575" t="str">
        <f>VLOOKUP($A18,'Pre-Assessment Estimator'!$A$10:$Z$228,V$2,FALSE)</f>
        <v>0 c. 0 %</v>
      </c>
      <c r="W18" s="574" t="str">
        <f>VLOOKUP($A18,'Pre-Assessment Estimator'!$A$10:$Z$228,W$2,FALSE)</f>
        <v>N/A</v>
      </c>
      <c r="X18" s="577" t="str">
        <f>IF(VLOOKUP($A18,'Pre-Assessment Estimator'!$A$10:$Z$228,X$2,FALSE)=0,"",VLOOKUP($A18,'Pre-Assessment Estimator'!$A$10:$Z$228,X$2,FALSE))</f>
        <v/>
      </c>
      <c r="Y18" s="577" t="str">
        <f>IF(VLOOKUP($A18,'Pre-Assessment Estimator'!$A$10:$Z$228,Y$2,FALSE)=0,"",VLOOKUP($A18,'Pre-Assessment Estimator'!$A$10:$Z$228,Y$2,FALSE))</f>
        <v/>
      </c>
      <c r="Z18" s="370" t="str">
        <f>IF(VLOOKUP($A18,'Pre-Assessment Estimator'!$A$10:$Z$228,Z$2,FALSE)=0,"",VLOOKUP($A18,'Pre-Assessment Estimator'!$A$10:$Z$228,Z$2,FALSE))</f>
        <v/>
      </c>
      <c r="AA18" s="696">
        <v>8</v>
      </c>
      <c r="AB18" s="577"/>
      <c r="AF18" s="386">
        <f t="shared" si="0"/>
        <v>1</v>
      </c>
      <c r="AG18" s="414"/>
      <c r="AL18" s="413"/>
    </row>
    <row r="19" spans="1:38" x14ac:dyDescent="0.25">
      <c r="A19" s="823">
        <v>10</v>
      </c>
      <c r="B19" s="1234" t="s">
        <v>61</v>
      </c>
      <c r="C19" s="1234"/>
      <c r="D19" s="1257" t="str">
        <f>VLOOKUP($A19,'Pre-Assessment Estimator'!$A$10:$Z$228,D$2,FALSE)</f>
        <v>Man 02</v>
      </c>
      <c r="E19" s="1258" t="str">
        <f>VLOOKUP($A19,'Pre-Assessment Estimator'!$A$10:$Z$228,E$2,FALSE)</f>
        <v>Elemental life cycle cost (LCC) and capital cost reporting</v>
      </c>
      <c r="F19" s="574">
        <f>VLOOKUP($A19,'Pre-Assessment Estimator'!$A$10:$Z$228,F$2,FALSE)</f>
        <v>2</v>
      </c>
      <c r="G19" s="580" t="str">
        <f>IF(VLOOKUP($A19,'Pre-Assessment Estimator'!$A$10:$Z$228,G$2,FALSE)=0,"",VLOOKUP($A19,'Pre-Assessment Estimator'!$A$10:$Z$228,G$2,FALSE))</f>
        <v/>
      </c>
      <c r="H19" s="575">
        <f>VLOOKUP($A19,'Pre-Assessment Estimator'!$A$10:$Z$228,H$2,FALSE)</f>
        <v>0</v>
      </c>
      <c r="I19" s="574" t="str">
        <f>VLOOKUP($A19,'Pre-Assessment Estimator'!$A$10:$Z$228,I$2,FALSE)</f>
        <v>N/A</v>
      </c>
      <c r="J19" s="577" t="str">
        <f>IF(VLOOKUP($A19,'Pre-Assessment Estimator'!$A$10:$Z$228,J$2,FALSE)=0,"",VLOOKUP($A19,'Pre-Assessment Estimator'!$A$10:$Z$228,J$2,FALSE))</f>
        <v/>
      </c>
      <c r="K19" s="577" t="str">
        <f>IF(VLOOKUP($A19,'Pre-Assessment Estimator'!$A$10:$Z$228,K$2,FALSE)=0,"",VLOOKUP($A19,'Pre-Assessment Estimator'!$A$10:$Z$228,K$2,FALSE))</f>
        <v/>
      </c>
      <c r="L19" s="578" t="str">
        <f>IF(VLOOKUP($A19,'Pre-Assessment Estimator'!$A$10:$Z$228,L$2,FALSE)=0,"",VLOOKUP($A19,'Pre-Assessment Estimator'!$A$10:$Z$228,L$2,FALSE))</f>
        <v/>
      </c>
      <c r="M19" s="579"/>
      <c r="N19" s="580" t="str">
        <f>IF(VLOOKUP($A19,'Pre-Assessment Estimator'!$A$10:$Z$228,N$2,FALSE)=0,"",VLOOKUP($A19,'Pre-Assessment Estimator'!$A$10:$Z$228,N$2,FALSE))</f>
        <v/>
      </c>
      <c r="O19" s="575">
        <f>VLOOKUP($A19,'Pre-Assessment Estimator'!$A$10:$Z$228,O$2,FALSE)</f>
        <v>0</v>
      </c>
      <c r="P19" s="574" t="str">
        <f>VLOOKUP($A19,'Pre-Assessment Estimator'!$A$10:$Z$228,P$2,FALSE)</f>
        <v>N/A</v>
      </c>
      <c r="Q19" s="577" t="str">
        <f>IF(VLOOKUP($A19,'Pre-Assessment Estimator'!$A$10:$Z$228,Q$2,FALSE)=0,"",VLOOKUP($A19,'Pre-Assessment Estimator'!$A$10:$Z$228,Q$2,FALSE))</f>
        <v/>
      </c>
      <c r="R19" s="577" t="str">
        <f>IF(VLOOKUP($A19,'Pre-Assessment Estimator'!$A$10:$Z$228,R$2,FALSE)=0,"",VLOOKUP($A19,'Pre-Assessment Estimator'!$A$10:$Z$228,R$2,FALSE))</f>
        <v/>
      </c>
      <c r="S19" s="578" t="str">
        <f>IF(VLOOKUP($A19,'Pre-Assessment Estimator'!$A$10:$Z$228,S$2,FALSE)=0,"",VLOOKUP($A19,'Pre-Assessment Estimator'!$A$10:$Z$228,S$2,FALSE))</f>
        <v/>
      </c>
      <c r="T19" s="581"/>
      <c r="U19" s="580" t="str">
        <f>IF(VLOOKUP($A19,'Pre-Assessment Estimator'!$A$10:$Z$228,U$2,FALSE)=0,"",VLOOKUP($A19,'Pre-Assessment Estimator'!$A$10:$Z$228,U$2,FALSE))</f>
        <v/>
      </c>
      <c r="V19" s="575">
        <f>VLOOKUP($A19,'Pre-Assessment Estimator'!$A$10:$Z$228,V$2,FALSE)</f>
        <v>0</v>
      </c>
      <c r="W19" s="574" t="str">
        <f>VLOOKUP($A19,'Pre-Assessment Estimator'!$A$10:$Z$228,W$2,FALSE)</f>
        <v>N/A</v>
      </c>
      <c r="X19" s="577" t="str">
        <f>IF(VLOOKUP($A19,'Pre-Assessment Estimator'!$A$10:$Z$228,X$2,FALSE)=0,"",VLOOKUP($A19,'Pre-Assessment Estimator'!$A$10:$Z$228,X$2,FALSE))</f>
        <v/>
      </c>
      <c r="Y19" s="577" t="str">
        <f>IF(VLOOKUP($A19,'Pre-Assessment Estimator'!$A$10:$Z$228,Y$2,FALSE)=0,"",VLOOKUP($A19,'Pre-Assessment Estimator'!$A$10:$Z$228,Y$2,FALSE))</f>
        <v/>
      </c>
      <c r="Z19" s="370" t="str">
        <f>IF(VLOOKUP($A19,'Pre-Assessment Estimator'!$A$10:$Z$228,Z$2,FALSE)=0,"",VLOOKUP($A19,'Pre-Assessment Estimator'!$A$10:$Z$228,Z$2,FALSE))</f>
        <v/>
      </c>
      <c r="AA19" s="696">
        <v>9</v>
      </c>
      <c r="AB19" s="577"/>
      <c r="AF19" s="386">
        <f t="shared" si="0"/>
        <v>1</v>
      </c>
      <c r="AG19" s="414"/>
      <c r="AL19" s="413"/>
    </row>
    <row r="20" spans="1:38" x14ac:dyDescent="0.25">
      <c r="A20" s="823">
        <v>11</v>
      </c>
      <c r="B20" s="1234" t="s">
        <v>61</v>
      </c>
      <c r="C20" s="1234"/>
      <c r="D20" s="1257" t="str">
        <f>VLOOKUP($A20,'Pre-Assessment Estimator'!$A$10:$Z$228,D$2,FALSE)</f>
        <v>Man 02</v>
      </c>
      <c r="E20" s="1258" t="str">
        <f>VLOOKUP($A20,'Pre-Assessment Estimator'!$A$10:$Z$228,E$2,FALSE)</f>
        <v>Component level life option appraisal</v>
      </c>
      <c r="F20" s="574">
        <f>VLOOKUP($A20,'Pre-Assessment Estimator'!$A$10:$Z$228,F$2,FALSE)</f>
        <v>1</v>
      </c>
      <c r="G20" s="580" t="str">
        <f>IF(VLOOKUP($A20,'Pre-Assessment Estimator'!$A$10:$Z$228,G$2,FALSE)=0,"",VLOOKUP($A20,'Pre-Assessment Estimator'!$A$10:$Z$228,G$2,FALSE))</f>
        <v/>
      </c>
      <c r="H20" s="575">
        <f>VLOOKUP($A20,'Pre-Assessment Estimator'!$A$10:$Z$228,H$2,FALSE)</f>
        <v>0</v>
      </c>
      <c r="I20" s="574" t="str">
        <f>VLOOKUP($A20,'Pre-Assessment Estimator'!$A$10:$Z$228,I$2,FALSE)</f>
        <v>N/A</v>
      </c>
      <c r="J20" s="577" t="str">
        <f>IF(VLOOKUP($A20,'Pre-Assessment Estimator'!$A$10:$Z$228,J$2,FALSE)=0,"",VLOOKUP($A20,'Pre-Assessment Estimator'!$A$10:$Z$228,J$2,FALSE))</f>
        <v/>
      </c>
      <c r="K20" s="577" t="str">
        <f>IF(VLOOKUP($A20,'Pre-Assessment Estimator'!$A$10:$Z$228,K$2,FALSE)=0,"",VLOOKUP($A20,'Pre-Assessment Estimator'!$A$10:$Z$228,K$2,FALSE))</f>
        <v/>
      </c>
      <c r="L20" s="578" t="str">
        <f>IF(VLOOKUP($A20,'Pre-Assessment Estimator'!$A$10:$Z$228,L$2,FALSE)=0,"",VLOOKUP($A20,'Pre-Assessment Estimator'!$A$10:$Z$228,L$2,FALSE))</f>
        <v/>
      </c>
      <c r="M20" s="579"/>
      <c r="N20" s="580" t="str">
        <f>IF(VLOOKUP($A20,'Pre-Assessment Estimator'!$A$10:$Z$228,N$2,FALSE)=0,"",VLOOKUP($A20,'Pre-Assessment Estimator'!$A$10:$Z$228,N$2,FALSE))</f>
        <v/>
      </c>
      <c r="O20" s="575">
        <f>VLOOKUP($A20,'Pre-Assessment Estimator'!$A$10:$Z$228,O$2,FALSE)</f>
        <v>0</v>
      </c>
      <c r="P20" s="574" t="str">
        <f>VLOOKUP($A20,'Pre-Assessment Estimator'!$A$10:$Z$228,P$2,FALSE)</f>
        <v>N/A</v>
      </c>
      <c r="Q20" s="577" t="str">
        <f>IF(VLOOKUP($A20,'Pre-Assessment Estimator'!$A$10:$Z$228,Q$2,FALSE)=0,"",VLOOKUP($A20,'Pre-Assessment Estimator'!$A$10:$Z$228,Q$2,FALSE))</f>
        <v/>
      </c>
      <c r="R20" s="577" t="str">
        <f>IF(VLOOKUP($A20,'Pre-Assessment Estimator'!$A$10:$Z$228,R$2,FALSE)=0,"",VLOOKUP($A20,'Pre-Assessment Estimator'!$A$10:$Z$228,R$2,FALSE))</f>
        <v/>
      </c>
      <c r="S20" s="578" t="str">
        <f>IF(VLOOKUP($A20,'Pre-Assessment Estimator'!$A$10:$Z$228,S$2,FALSE)=0,"",VLOOKUP($A20,'Pre-Assessment Estimator'!$A$10:$Z$228,S$2,FALSE))</f>
        <v/>
      </c>
      <c r="T20" s="581"/>
      <c r="U20" s="580" t="str">
        <f>IF(VLOOKUP($A20,'Pre-Assessment Estimator'!$A$10:$Z$228,U$2,FALSE)=0,"",VLOOKUP($A20,'Pre-Assessment Estimator'!$A$10:$Z$228,U$2,FALSE))</f>
        <v/>
      </c>
      <c r="V20" s="575">
        <f>VLOOKUP($A20,'Pre-Assessment Estimator'!$A$10:$Z$228,V$2,FALSE)</f>
        <v>0</v>
      </c>
      <c r="W20" s="574" t="str">
        <f>VLOOKUP($A20,'Pre-Assessment Estimator'!$A$10:$Z$228,W$2,FALSE)</f>
        <v>N/A</v>
      </c>
      <c r="X20" s="577" t="str">
        <f>IF(VLOOKUP($A20,'Pre-Assessment Estimator'!$A$10:$Z$228,X$2,FALSE)=0,"",VLOOKUP($A20,'Pre-Assessment Estimator'!$A$10:$Z$228,X$2,FALSE))</f>
        <v/>
      </c>
      <c r="Y20" s="577" t="str">
        <f>IF(VLOOKUP($A20,'Pre-Assessment Estimator'!$A$10:$Z$228,Y$2,FALSE)=0,"",VLOOKUP($A20,'Pre-Assessment Estimator'!$A$10:$Z$228,Y$2,FALSE))</f>
        <v/>
      </c>
      <c r="Z20" s="370" t="str">
        <f>IF(VLOOKUP($A20,'Pre-Assessment Estimator'!$A$10:$Z$228,Z$2,FALSE)=0,"",VLOOKUP($A20,'Pre-Assessment Estimator'!$A$10:$Z$228,Z$2,FALSE))</f>
        <v/>
      </c>
      <c r="AA20" s="696">
        <v>10</v>
      </c>
      <c r="AB20" s="577"/>
      <c r="AF20" s="386">
        <f t="shared" si="0"/>
        <v>1</v>
      </c>
      <c r="AG20" s="414"/>
      <c r="AL20" s="413"/>
    </row>
    <row r="21" spans="1:38" x14ac:dyDescent="0.25">
      <c r="A21" s="823">
        <v>12</v>
      </c>
      <c r="B21" s="1234" t="s">
        <v>61</v>
      </c>
      <c r="C21" s="1234"/>
      <c r="D21" s="1256" t="str">
        <f>VLOOKUP($A21,'Pre-Assessment Estimator'!$A$10:$Z$228,D$2,FALSE)</f>
        <v>Man 03</v>
      </c>
      <c r="E21" s="1256" t="str">
        <f>VLOOKUP($A21,'Pre-Assessment Estimator'!$A$10:$Z$228,E$2,FALSE)</f>
        <v>Man 03 Responsible construction practices</v>
      </c>
      <c r="F21" s="574">
        <f>VLOOKUP($A21,'Pre-Assessment Estimator'!$A$10:$Z$228,F$2,FALSE)</f>
        <v>7</v>
      </c>
      <c r="G21" s="580" t="str">
        <f>IF(VLOOKUP($A21,'Pre-Assessment Estimator'!$A$10:$Z$228,G$2,FALSE)=0,"",VLOOKUP($A21,'Pre-Assessment Estimator'!$A$10:$Z$228,G$2,FALSE))</f>
        <v/>
      </c>
      <c r="H21" s="575" t="str">
        <f>VLOOKUP($A21,'Pre-Assessment Estimator'!$A$10:$Z$228,H$2,FALSE)</f>
        <v>0 c. 0 %</v>
      </c>
      <c r="I21" s="574" t="str">
        <f>VLOOKUP($A21,'Pre-Assessment Estimator'!$A$10:$Z$228,I$2,FALSE)</f>
        <v>N/A</v>
      </c>
      <c r="J21" s="577" t="str">
        <f>IF(VLOOKUP($A21,'Pre-Assessment Estimator'!$A$10:$Z$228,J$2,FALSE)=0,"",VLOOKUP($A21,'Pre-Assessment Estimator'!$A$10:$Z$228,J$2,FALSE))</f>
        <v/>
      </c>
      <c r="K21" s="577" t="str">
        <f>IF(VLOOKUP($A21,'Pre-Assessment Estimator'!$A$10:$Z$228,K$2,FALSE)=0,"",VLOOKUP($A21,'Pre-Assessment Estimator'!$A$10:$Z$228,K$2,FALSE))</f>
        <v/>
      </c>
      <c r="L21" s="578" t="str">
        <f>IF(VLOOKUP($A21,'Pre-Assessment Estimator'!$A$10:$Z$228,L$2,FALSE)=0,"",VLOOKUP($A21,'Pre-Assessment Estimator'!$A$10:$Z$228,L$2,FALSE))</f>
        <v/>
      </c>
      <c r="M21" s="579"/>
      <c r="N21" s="580" t="str">
        <f>IF(VLOOKUP($A21,'Pre-Assessment Estimator'!$A$10:$Z$228,N$2,FALSE)=0,"",VLOOKUP($A21,'Pre-Assessment Estimator'!$A$10:$Z$228,N$2,FALSE))</f>
        <v/>
      </c>
      <c r="O21" s="575" t="str">
        <f>VLOOKUP($A21,'Pre-Assessment Estimator'!$A$10:$Z$228,O$2,FALSE)</f>
        <v>0 c. 0 %</v>
      </c>
      <c r="P21" s="574" t="str">
        <f>VLOOKUP($A21,'Pre-Assessment Estimator'!$A$10:$Z$228,P$2,FALSE)</f>
        <v>N/A</v>
      </c>
      <c r="Q21" s="577" t="str">
        <f>IF(VLOOKUP($A21,'Pre-Assessment Estimator'!$A$10:$Z$228,Q$2,FALSE)=0,"",VLOOKUP($A21,'Pre-Assessment Estimator'!$A$10:$Z$228,Q$2,FALSE))</f>
        <v/>
      </c>
      <c r="R21" s="577" t="str">
        <f>IF(VLOOKUP($A21,'Pre-Assessment Estimator'!$A$10:$Z$228,R$2,FALSE)=0,"",VLOOKUP($A21,'Pre-Assessment Estimator'!$A$10:$Z$228,R$2,FALSE))</f>
        <v/>
      </c>
      <c r="S21" s="578" t="str">
        <f>IF(VLOOKUP($A21,'Pre-Assessment Estimator'!$A$10:$Z$228,S$2,FALSE)=0,"",VLOOKUP($A21,'Pre-Assessment Estimator'!$A$10:$Z$228,S$2,FALSE))</f>
        <v/>
      </c>
      <c r="T21" s="581"/>
      <c r="U21" s="580" t="str">
        <f>IF(VLOOKUP($A21,'Pre-Assessment Estimator'!$A$10:$Z$228,U$2,FALSE)=0,"",VLOOKUP($A21,'Pre-Assessment Estimator'!$A$10:$Z$228,U$2,FALSE))</f>
        <v/>
      </c>
      <c r="V21" s="575" t="str">
        <f>VLOOKUP($A21,'Pre-Assessment Estimator'!$A$10:$Z$228,V$2,FALSE)</f>
        <v>0 c. 0 %</v>
      </c>
      <c r="W21" s="574" t="str">
        <f>VLOOKUP($A21,'Pre-Assessment Estimator'!$A$10:$Z$228,W$2,FALSE)</f>
        <v>N/A</v>
      </c>
      <c r="X21" s="577" t="str">
        <f>IF(VLOOKUP($A21,'Pre-Assessment Estimator'!$A$10:$Z$228,X$2,FALSE)=0,"",VLOOKUP($A21,'Pre-Assessment Estimator'!$A$10:$Z$228,X$2,FALSE))</f>
        <v/>
      </c>
      <c r="Y21" s="577" t="str">
        <f>IF(VLOOKUP($A21,'Pre-Assessment Estimator'!$A$10:$Z$228,Y$2,FALSE)=0,"",VLOOKUP($A21,'Pre-Assessment Estimator'!$A$10:$Z$228,Y$2,FALSE))</f>
        <v/>
      </c>
      <c r="Z21" s="370" t="str">
        <f>IF(VLOOKUP($A21,'Pre-Assessment Estimator'!$A$10:$Z$228,Z$2,FALSE)=0,"",VLOOKUP($A21,'Pre-Assessment Estimator'!$A$10:$Z$228,Z$2,FALSE))</f>
        <v/>
      </c>
      <c r="AA21" s="696">
        <v>11</v>
      </c>
      <c r="AB21" s="577"/>
      <c r="AF21" s="386">
        <f t="shared" si="0"/>
        <v>1</v>
      </c>
      <c r="AG21" s="414"/>
      <c r="AL21" s="413"/>
    </row>
    <row r="22" spans="1:38" x14ac:dyDescent="0.25">
      <c r="A22" s="823">
        <v>13</v>
      </c>
      <c r="B22" s="1234" t="s">
        <v>61</v>
      </c>
      <c r="C22" s="1234"/>
      <c r="D22" s="1257" t="str">
        <f>VLOOKUP($A22,'Pre-Assessment Estimator'!$A$10:$Z$228,D$2,FALSE)</f>
        <v>Man 03</v>
      </c>
      <c r="E22" s="1258" t="str">
        <f>VLOOKUP($A22,'Pre-Assessment Estimator'!$A$10:$Z$228,E$2,FALSE)</f>
        <v>Environmental managment</v>
      </c>
      <c r="F22" s="574">
        <f>VLOOKUP($A22,'Pre-Assessment Estimator'!$A$10:$Z$228,F$2,FALSE)</f>
        <v>1</v>
      </c>
      <c r="G22" s="580" t="str">
        <f>IF(VLOOKUP($A22,'Pre-Assessment Estimator'!$A$10:$Z$228,G$2,FALSE)=0,"",VLOOKUP($A22,'Pre-Assessment Estimator'!$A$10:$Z$228,G$2,FALSE))</f>
        <v/>
      </c>
      <c r="H22" s="575">
        <f>VLOOKUP($A22,'Pre-Assessment Estimator'!$A$10:$Z$228,H$2,FALSE)</f>
        <v>0</v>
      </c>
      <c r="I22" s="574" t="str">
        <f>VLOOKUP($A22,'Pre-Assessment Estimator'!$A$10:$Z$228,I$2,FALSE)</f>
        <v>N/A</v>
      </c>
      <c r="J22" s="577" t="str">
        <f>IF(VLOOKUP($A22,'Pre-Assessment Estimator'!$A$10:$Z$228,J$2,FALSE)=0,"",VLOOKUP($A22,'Pre-Assessment Estimator'!$A$10:$Z$228,J$2,FALSE))</f>
        <v/>
      </c>
      <c r="K22" s="577" t="str">
        <f>IF(VLOOKUP($A22,'Pre-Assessment Estimator'!$A$10:$Z$228,K$2,FALSE)=0,"",VLOOKUP($A22,'Pre-Assessment Estimator'!$A$10:$Z$228,K$2,FALSE))</f>
        <v/>
      </c>
      <c r="L22" s="578" t="str">
        <f>IF(VLOOKUP($A22,'Pre-Assessment Estimator'!$A$10:$Z$228,L$2,FALSE)=0,"",VLOOKUP($A22,'Pre-Assessment Estimator'!$A$10:$Z$228,L$2,FALSE))</f>
        <v/>
      </c>
      <c r="M22" s="579"/>
      <c r="N22" s="580" t="str">
        <f>IF(VLOOKUP($A22,'Pre-Assessment Estimator'!$A$10:$Z$228,N$2,FALSE)=0,"",VLOOKUP($A22,'Pre-Assessment Estimator'!$A$10:$Z$228,N$2,FALSE))</f>
        <v/>
      </c>
      <c r="O22" s="575">
        <f>VLOOKUP($A22,'Pre-Assessment Estimator'!$A$10:$Z$228,O$2,FALSE)</f>
        <v>0</v>
      </c>
      <c r="P22" s="574" t="str">
        <f>VLOOKUP($A22,'Pre-Assessment Estimator'!$A$10:$Z$228,P$2,FALSE)</f>
        <v>N/A</v>
      </c>
      <c r="Q22" s="577" t="str">
        <f>IF(VLOOKUP($A22,'Pre-Assessment Estimator'!$A$10:$Z$228,Q$2,FALSE)=0,"",VLOOKUP($A22,'Pre-Assessment Estimator'!$A$10:$Z$228,Q$2,FALSE))</f>
        <v/>
      </c>
      <c r="R22" s="577" t="str">
        <f>IF(VLOOKUP($A22,'Pre-Assessment Estimator'!$A$10:$Z$228,R$2,FALSE)=0,"",VLOOKUP($A22,'Pre-Assessment Estimator'!$A$10:$Z$228,R$2,FALSE))</f>
        <v/>
      </c>
      <c r="S22" s="578" t="str">
        <f>IF(VLOOKUP($A22,'Pre-Assessment Estimator'!$A$10:$Z$228,S$2,FALSE)=0,"",VLOOKUP($A22,'Pre-Assessment Estimator'!$A$10:$Z$228,S$2,FALSE))</f>
        <v/>
      </c>
      <c r="T22" s="581"/>
      <c r="U22" s="580" t="str">
        <f>IF(VLOOKUP($A22,'Pre-Assessment Estimator'!$A$10:$Z$228,U$2,FALSE)=0,"",VLOOKUP($A22,'Pre-Assessment Estimator'!$A$10:$Z$228,U$2,FALSE))</f>
        <v/>
      </c>
      <c r="V22" s="575">
        <f>VLOOKUP($A22,'Pre-Assessment Estimator'!$A$10:$Z$228,V$2,FALSE)</f>
        <v>0</v>
      </c>
      <c r="W22" s="574" t="str">
        <f>VLOOKUP($A22,'Pre-Assessment Estimator'!$A$10:$Z$228,W$2,FALSE)</f>
        <v>N/A</v>
      </c>
      <c r="X22" s="577" t="str">
        <f>IF(VLOOKUP($A22,'Pre-Assessment Estimator'!$A$10:$Z$228,X$2,FALSE)=0,"",VLOOKUP($A22,'Pre-Assessment Estimator'!$A$10:$Z$228,X$2,FALSE))</f>
        <v/>
      </c>
      <c r="Y22" s="577" t="str">
        <f>IF(VLOOKUP($A22,'Pre-Assessment Estimator'!$A$10:$Z$228,Y$2,FALSE)=0,"",VLOOKUP($A22,'Pre-Assessment Estimator'!$A$10:$Z$228,Y$2,FALSE))</f>
        <v/>
      </c>
      <c r="Z22" s="370" t="str">
        <f>IF(VLOOKUP($A22,'Pre-Assessment Estimator'!$A$10:$Z$228,Z$2,FALSE)=0,"",VLOOKUP($A22,'Pre-Assessment Estimator'!$A$10:$Z$228,Z$2,FALSE))</f>
        <v/>
      </c>
      <c r="AA22" s="696">
        <v>12</v>
      </c>
      <c r="AB22" s="577"/>
      <c r="AF22" s="386">
        <f t="shared" si="0"/>
        <v>1</v>
      </c>
      <c r="AG22" s="414"/>
      <c r="AL22" s="413"/>
    </row>
    <row r="23" spans="1:38" x14ac:dyDescent="0.25">
      <c r="A23" s="823">
        <v>14</v>
      </c>
      <c r="B23" s="1234" t="s">
        <v>61</v>
      </c>
      <c r="C23" s="1234"/>
      <c r="D23" s="1257" t="str">
        <f>VLOOKUP($A23,'Pre-Assessment Estimator'!$A$10:$Z$228,D$2,FALSE)</f>
        <v>Man 03</v>
      </c>
      <c r="E23" s="1258" t="str">
        <f>VLOOKUP($A23,'Pre-Assessment Estimator'!$A$10:$Z$228,E$2,FALSE)</f>
        <v>BREEAM-NOR AP and BREEAM performance targets (stage 5 and 6)</v>
      </c>
      <c r="F23" s="574">
        <f>VLOOKUP($A23,'Pre-Assessment Estimator'!$A$10:$Z$228,F$2,FALSE)</f>
        <v>1</v>
      </c>
      <c r="G23" s="580" t="str">
        <f>IF(VLOOKUP($A23,'Pre-Assessment Estimator'!$A$10:$Z$228,G$2,FALSE)=0,"",VLOOKUP($A23,'Pre-Assessment Estimator'!$A$10:$Z$228,G$2,FALSE))</f>
        <v/>
      </c>
      <c r="H23" s="575">
        <f>VLOOKUP($A23,'Pre-Assessment Estimator'!$A$10:$Z$228,H$2,FALSE)</f>
        <v>0</v>
      </c>
      <c r="I23" s="574" t="str">
        <f>VLOOKUP($A23,'Pre-Assessment Estimator'!$A$10:$Z$228,I$2,FALSE)</f>
        <v>N/A</v>
      </c>
      <c r="J23" s="577" t="str">
        <f>IF(VLOOKUP($A23,'Pre-Assessment Estimator'!$A$10:$Z$228,J$2,FALSE)=0,"",VLOOKUP($A23,'Pre-Assessment Estimator'!$A$10:$Z$228,J$2,FALSE))</f>
        <v/>
      </c>
      <c r="K23" s="577" t="str">
        <f>IF(VLOOKUP($A23,'Pre-Assessment Estimator'!$A$10:$Z$228,K$2,FALSE)=0,"",VLOOKUP($A23,'Pre-Assessment Estimator'!$A$10:$Z$228,K$2,FALSE))</f>
        <v/>
      </c>
      <c r="L23" s="578" t="str">
        <f>IF(VLOOKUP($A23,'Pre-Assessment Estimator'!$A$10:$Z$228,L$2,FALSE)=0,"",VLOOKUP($A23,'Pre-Assessment Estimator'!$A$10:$Z$228,L$2,FALSE))</f>
        <v/>
      </c>
      <c r="M23" s="579"/>
      <c r="N23" s="580" t="str">
        <f>IF(VLOOKUP($A23,'Pre-Assessment Estimator'!$A$10:$Z$228,N$2,FALSE)=0,"",VLOOKUP($A23,'Pre-Assessment Estimator'!$A$10:$Z$228,N$2,FALSE))</f>
        <v/>
      </c>
      <c r="O23" s="575">
        <f>VLOOKUP($A23,'Pre-Assessment Estimator'!$A$10:$Z$228,O$2,FALSE)</f>
        <v>0</v>
      </c>
      <c r="P23" s="574" t="str">
        <f>VLOOKUP($A23,'Pre-Assessment Estimator'!$A$10:$Z$228,P$2,FALSE)</f>
        <v>N/A</v>
      </c>
      <c r="Q23" s="577" t="str">
        <f>IF(VLOOKUP($A23,'Pre-Assessment Estimator'!$A$10:$Z$228,Q$2,FALSE)=0,"",VLOOKUP($A23,'Pre-Assessment Estimator'!$A$10:$Z$228,Q$2,FALSE))</f>
        <v/>
      </c>
      <c r="R23" s="577" t="str">
        <f>IF(VLOOKUP($A23,'Pre-Assessment Estimator'!$A$10:$Z$228,R$2,FALSE)=0,"",VLOOKUP($A23,'Pre-Assessment Estimator'!$A$10:$Z$228,R$2,FALSE))</f>
        <v/>
      </c>
      <c r="S23" s="578" t="str">
        <f>IF(VLOOKUP($A23,'Pre-Assessment Estimator'!$A$10:$Z$228,S$2,FALSE)=0,"",VLOOKUP($A23,'Pre-Assessment Estimator'!$A$10:$Z$228,S$2,FALSE))</f>
        <v/>
      </c>
      <c r="T23" s="581"/>
      <c r="U23" s="580" t="str">
        <f>IF(VLOOKUP($A23,'Pre-Assessment Estimator'!$A$10:$Z$228,U$2,FALSE)=0,"",VLOOKUP($A23,'Pre-Assessment Estimator'!$A$10:$Z$228,U$2,FALSE))</f>
        <v/>
      </c>
      <c r="V23" s="575">
        <f>VLOOKUP($A23,'Pre-Assessment Estimator'!$A$10:$Z$228,V$2,FALSE)</f>
        <v>0</v>
      </c>
      <c r="W23" s="574" t="str">
        <f>VLOOKUP($A23,'Pre-Assessment Estimator'!$A$10:$Z$228,W$2,FALSE)</f>
        <v>N/A</v>
      </c>
      <c r="X23" s="577" t="str">
        <f>IF(VLOOKUP($A23,'Pre-Assessment Estimator'!$A$10:$Z$228,X$2,FALSE)=0,"",VLOOKUP($A23,'Pre-Assessment Estimator'!$A$10:$Z$228,X$2,FALSE))</f>
        <v/>
      </c>
      <c r="Y23" s="577" t="str">
        <f>IF(VLOOKUP($A23,'Pre-Assessment Estimator'!$A$10:$Z$228,Y$2,FALSE)=0,"",VLOOKUP($A23,'Pre-Assessment Estimator'!$A$10:$Z$228,Y$2,FALSE))</f>
        <v/>
      </c>
      <c r="Z23" s="370" t="str">
        <f>IF(VLOOKUP($A23,'Pre-Assessment Estimator'!$A$10:$Z$228,Z$2,FALSE)=0,"",VLOOKUP($A23,'Pre-Assessment Estimator'!$A$10:$Z$228,Z$2,FALSE))</f>
        <v/>
      </c>
      <c r="AA23" s="696">
        <v>13</v>
      </c>
      <c r="AB23" s="577"/>
      <c r="AF23" s="386">
        <f t="shared" si="0"/>
        <v>1</v>
      </c>
      <c r="AG23" s="414"/>
      <c r="AL23" s="413"/>
    </row>
    <row r="24" spans="1:38" ht="30" x14ac:dyDescent="0.25">
      <c r="A24" s="823">
        <v>15</v>
      </c>
      <c r="B24" s="1234" t="s">
        <v>61</v>
      </c>
      <c r="C24" s="1234"/>
      <c r="D24" s="1257" t="str">
        <f>VLOOKUP($A24,'Pre-Assessment Estimator'!$A$10:$Z$228,D$2,FALSE)</f>
        <v>Man 03</v>
      </c>
      <c r="E24" s="1258" t="str">
        <f>VLOOKUP($A24,'Pre-Assessment Estimator'!$A$10:$Z$228,E$2,FALSE)</f>
        <v>Considerate contruction: clean and tidy building process and checklist A1 (EU taxonomy requirement: criterion 5-6)</v>
      </c>
      <c r="F24" s="574">
        <f>VLOOKUP($A24,'Pre-Assessment Estimator'!$A$10:$Z$228,F$2,FALSE)</f>
        <v>1</v>
      </c>
      <c r="G24" s="580" t="str">
        <f>IF(VLOOKUP($A24,'Pre-Assessment Estimator'!$A$10:$Z$228,G$2,FALSE)=0,"",VLOOKUP($A24,'Pre-Assessment Estimator'!$A$10:$Z$228,G$2,FALSE))</f>
        <v/>
      </c>
      <c r="H24" s="575">
        <f>VLOOKUP($A24,'Pre-Assessment Estimator'!$A$10:$Z$228,H$2,FALSE)</f>
        <v>0</v>
      </c>
      <c r="I24" s="574" t="str">
        <f>VLOOKUP($A24,'Pre-Assessment Estimator'!$A$10:$Z$228,I$2,FALSE)</f>
        <v>Unclassified</v>
      </c>
      <c r="J24" s="577" t="str">
        <f>IF(VLOOKUP($A24,'Pre-Assessment Estimator'!$A$10:$Z$228,J$2,FALSE)=0,"",VLOOKUP($A24,'Pre-Assessment Estimator'!$A$10:$Z$228,J$2,FALSE))</f>
        <v/>
      </c>
      <c r="K24" s="577" t="str">
        <f>IF(VLOOKUP($A24,'Pre-Assessment Estimator'!$A$10:$Z$228,K$2,FALSE)=0,"",VLOOKUP($A24,'Pre-Assessment Estimator'!$A$10:$Z$228,K$2,FALSE))</f>
        <v/>
      </c>
      <c r="L24" s="578" t="str">
        <f>IF(VLOOKUP($A24,'Pre-Assessment Estimator'!$A$10:$Z$228,L$2,FALSE)=0,"",VLOOKUP($A24,'Pre-Assessment Estimator'!$A$10:$Z$228,L$2,FALSE))</f>
        <v/>
      </c>
      <c r="M24" s="579"/>
      <c r="N24" s="580" t="str">
        <f>IF(VLOOKUP($A24,'Pre-Assessment Estimator'!$A$10:$Z$228,N$2,FALSE)=0,"",VLOOKUP($A24,'Pre-Assessment Estimator'!$A$10:$Z$228,N$2,FALSE))</f>
        <v/>
      </c>
      <c r="O24" s="575">
        <f>VLOOKUP($A24,'Pre-Assessment Estimator'!$A$10:$Z$228,O$2,FALSE)</f>
        <v>0</v>
      </c>
      <c r="P24" s="574" t="str">
        <f>VLOOKUP($A24,'Pre-Assessment Estimator'!$A$10:$Z$228,P$2,FALSE)</f>
        <v>Unclassified</v>
      </c>
      <c r="Q24" s="577" t="str">
        <f>IF(VLOOKUP($A24,'Pre-Assessment Estimator'!$A$10:$Z$228,Q$2,FALSE)=0,"",VLOOKUP($A24,'Pre-Assessment Estimator'!$A$10:$Z$228,Q$2,FALSE))</f>
        <v/>
      </c>
      <c r="R24" s="577" t="str">
        <f>IF(VLOOKUP($A24,'Pre-Assessment Estimator'!$A$10:$Z$228,R$2,FALSE)=0,"",VLOOKUP($A24,'Pre-Assessment Estimator'!$A$10:$Z$228,R$2,FALSE))</f>
        <v/>
      </c>
      <c r="S24" s="578" t="str">
        <f>IF(VLOOKUP($A24,'Pre-Assessment Estimator'!$A$10:$Z$228,S$2,FALSE)=0,"",VLOOKUP($A24,'Pre-Assessment Estimator'!$A$10:$Z$228,S$2,FALSE))</f>
        <v/>
      </c>
      <c r="T24" s="581"/>
      <c r="U24" s="580" t="str">
        <f>IF(VLOOKUP($A24,'Pre-Assessment Estimator'!$A$10:$Z$228,U$2,FALSE)=0,"",VLOOKUP($A24,'Pre-Assessment Estimator'!$A$10:$Z$228,U$2,FALSE))</f>
        <v/>
      </c>
      <c r="V24" s="575">
        <f>VLOOKUP($A24,'Pre-Assessment Estimator'!$A$10:$Z$228,V$2,FALSE)</f>
        <v>0</v>
      </c>
      <c r="W24" s="574" t="str">
        <f>VLOOKUP($A24,'Pre-Assessment Estimator'!$A$10:$Z$228,W$2,FALSE)</f>
        <v>Unclassified</v>
      </c>
      <c r="X24" s="577" t="str">
        <f>IF(VLOOKUP($A24,'Pre-Assessment Estimator'!$A$10:$Z$228,X$2,FALSE)=0,"",VLOOKUP($A24,'Pre-Assessment Estimator'!$A$10:$Z$228,X$2,FALSE))</f>
        <v/>
      </c>
      <c r="Y24" s="577" t="str">
        <f>IF(VLOOKUP($A24,'Pre-Assessment Estimator'!$A$10:$Z$228,Y$2,FALSE)=0,"",VLOOKUP($A24,'Pre-Assessment Estimator'!$A$10:$Z$228,Y$2,FALSE))</f>
        <v/>
      </c>
      <c r="Z24" s="370" t="str">
        <f>IF(VLOOKUP($A24,'Pre-Assessment Estimator'!$A$10:$Z$228,Z$2,FALSE)=0,"",VLOOKUP($A24,'Pre-Assessment Estimator'!$A$10:$Z$228,Z$2,FALSE))</f>
        <v/>
      </c>
      <c r="AA24" s="696">
        <v>14</v>
      </c>
      <c r="AB24" s="577"/>
      <c r="AF24" s="386">
        <f t="shared" si="0"/>
        <v>1</v>
      </c>
      <c r="AG24" s="414"/>
      <c r="AL24" s="413"/>
    </row>
    <row r="25" spans="1:38" ht="30" x14ac:dyDescent="0.25">
      <c r="A25" s="823">
        <v>16</v>
      </c>
      <c r="B25" s="1234" t="s">
        <v>61</v>
      </c>
      <c r="C25" s="1234"/>
      <c r="D25" s="1257" t="str">
        <f>VLOOKUP($A25,'Pre-Assessment Estimator'!$A$10:$Z$228,D$2,FALSE)</f>
        <v>Man 03</v>
      </c>
      <c r="E25" s="1258" t="str">
        <f>VLOOKUP($A25,'Pre-Assessment Estimator'!$A$10:$Z$228,E$2,FALSE)</f>
        <v>Considerate contruction: INSTA 800 and checklist A1 (EU taxonomy requirement: criterion 7-9)</v>
      </c>
      <c r="F25" s="574">
        <f>VLOOKUP($A25,'Pre-Assessment Estimator'!$A$10:$Z$228,F$2,FALSE)</f>
        <v>1</v>
      </c>
      <c r="G25" s="580" t="str">
        <f>IF(VLOOKUP($A25,'Pre-Assessment Estimator'!$A$10:$Z$228,G$2,FALSE)=0,"",VLOOKUP($A25,'Pre-Assessment Estimator'!$A$10:$Z$228,G$2,FALSE))</f>
        <v/>
      </c>
      <c r="H25" s="575">
        <f>VLOOKUP($A25,'Pre-Assessment Estimator'!$A$10:$Z$228,H$2,FALSE)</f>
        <v>0</v>
      </c>
      <c r="I25" s="574" t="str">
        <f>VLOOKUP($A25,'Pre-Assessment Estimator'!$A$10:$Z$228,I$2,FALSE)</f>
        <v>Good</v>
      </c>
      <c r="J25" s="577" t="str">
        <f>IF(VLOOKUP($A25,'Pre-Assessment Estimator'!$A$10:$Z$228,J$2,FALSE)=0,"",VLOOKUP($A25,'Pre-Assessment Estimator'!$A$10:$Z$228,J$2,FALSE))</f>
        <v/>
      </c>
      <c r="K25" s="577" t="str">
        <f>IF(VLOOKUP($A25,'Pre-Assessment Estimator'!$A$10:$Z$228,K$2,FALSE)=0,"",VLOOKUP($A25,'Pre-Assessment Estimator'!$A$10:$Z$228,K$2,FALSE))</f>
        <v/>
      </c>
      <c r="L25" s="578" t="str">
        <f>IF(VLOOKUP($A25,'Pre-Assessment Estimator'!$A$10:$Z$228,L$2,FALSE)=0,"",VLOOKUP($A25,'Pre-Assessment Estimator'!$A$10:$Z$228,L$2,FALSE))</f>
        <v/>
      </c>
      <c r="M25" s="579"/>
      <c r="N25" s="580" t="str">
        <f>IF(VLOOKUP($A25,'Pre-Assessment Estimator'!$A$10:$Z$228,N$2,FALSE)=0,"",VLOOKUP($A25,'Pre-Assessment Estimator'!$A$10:$Z$228,N$2,FALSE))</f>
        <v/>
      </c>
      <c r="O25" s="575">
        <f>VLOOKUP($A25,'Pre-Assessment Estimator'!$A$10:$Z$228,O$2,FALSE)</f>
        <v>0</v>
      </c>
      <c r="P25" s="574" t="str">
        <f>VLOOKUP($A25,'Pre-Assessment Estimator'!$A$10:$Z$228,P$2,FALSE)</f>
        <v>Good</v>
      </c>
      <c r="Q25" s="577" t="str">
        <f>IF(VLOOKUP($A25,'Pre-Assessment Estimator'!$A$10:$Z$228,Q$2,FALSE)=0,"",VLOOKUP($A25,'Pre-Assessment Estimator'!$A$10:$Z$228,Q$2,FALSE))</f>
        <v/>
      </c>
      <c r="R25" s="577" t="str">
        <f>IF(VLOOKUP($A25,'Pre-Assessment Estimator'!$A$10:$Z$228,R$2,FALSE)=0,"",VLOOKUP($A25,'Pre-Assessment Estimator'!$A$10:$Z$228,R$2,FALSE))</f>
        <v/>
      </c>
      <c r="S25" s="578" t="str">
        <f>IF(VLOOKUP($A25,'Pre-Assessment Estimator'!$A$10:$Z$228,S$2,FALSE)=0,"",VLOOKUP($A25,'Pre-Assessment Estimator'!$A$10:$Z$228,S$2,FALSE))</f>
        <v/>
      </c>
      <c r="T25" s="581"/>
      <c r="U25" s="580" t="str">
        <f>IF(VLOOKUP($A25,'Pre-Assessment Estimator'!$A$10:$Z$228,U$2,FALSE)=0,"",VLOOKUP($A25,'Pre-Assessment Estimator'!$A$10:$Z$228,U$2,FALSE))</f>
        <v/>
      </c>
      <c r="V25" s="575">
        <f>VLOOKUP($A25,'Pre-Assessment Estimator'!$A$10:$Z$228,V$2,FALSE)</f>
        <v>0</v>
      </c>
      <c r="W25" s="574" t="str">
        <f>VLOOKUP($A25,'Pre-Assessment Estimator'!$A$10:$Z$228,W$2,FALSE)</f>
        <v>Good</v>
      </c>
      <c r="X25" s="577" t="str">
        <f>IF(VLOOKUP($A25,'Pre-Assessment Estimator'!$A$10:$Z$228,X$2,FALSE)=0,"",VLOOKUP($A25,'Pre-Assessment Estimator'!$A$10:$Z$228,X$2,FALSE))</f>
        <v/>
      </c>
      <c r="Y25" s="577" t="str">
        <f>IF(VLOOKUP($A25,'Pre-Assessment Estimator'!$A$10:$Z$228,Y$2,FALSE)=0,"",VLOOKUP($A25,'Pre-Assessment Estimator'!$A$10:$Z$228,Y$2,FALSE))</f>
        <v/>
      </c>
      <c r="Z25" s="370" t="str">
        <f>IF(VLOOKUP($A25,'Pre-Assessment Estimator'!$A$10:$Z$228,Z$2,FALSE)=0,"",VLOOKUP($A25,'Pre-Assessment Estimator'!$A$10:$Z$228,Z$2,FALSE))</f>
        <v/>
      </c>
      <c r="AA25" s="696">
        <v>15</v>
      </c>
      <c r="AB25" s="577"/>
      <c r="AF25" s="386">
        <f t="shared" si="0"/>
        <v>1</v>
      </c>
      <c r="AG25" s="414"/>
      <c r="AL25" s="413"/>
    </row>
    <row r="26" spans="1:38" x14ac:dyDescent="0.25">
      <c r="A26" s="823">
        <v>17</v>
      </c>
      <c r="B26" s="1234" t="s">
        <v>61</v>
      </c>
      <c r="C26" s="1234"/>
      <c r="D26" s="1257" t="str">
        <f>VLOOKUP($A26,'Pre-Assessment Estimator'!$A$10:$Z$228,D$2,FALSE)</f>
        <v>Man 03</v>
      </c>
      <c r="E26" s="1258" t="str">
        <f>VLOOKUP($A26,'Pre-Assessment Estimator'!$A$10:$Z$228,E$2,FALSE)</f>
        <v>Energy consumption from activities on the construction site (step 2-4)</v>
      </c>
      <c r="F26" s="574">
        <f>VLOOKUP($A26,'Pre-Assessment Estimator'!$A$10:$Z$228,F$2,FALSE)</f>
        <v>1</v>
      </c>
      <c r="G26" s="580" t="str">
        <f>IF(VLOOKUP($A26,'Pre-Assessment Estimator'!$A$10:$Z$228,G$2,FALSE)=0,"",VLOOKUP($A26,'Pre-Assessment Estimator'!$A$10:$Z$228,G$2,FALSE))</f>
        <v/>
      </c>
      <c r="H26" s="575">
        <f>VLOOKUP($A26,'Pre-Assessment Estimator'!$A$10:$Z$228,H$2,FALSE)</f>
        <v>0</v>
      </c>
      <c r="I26" s="574" t="str">
        <f>VLOOKUP($A26,'Pre-Assessment Estimator'!$A$10:$Z$228,I$2,FALSE)</f>
        <v>Very Good</v>
      </c>
      <c r="J26" s="577" t="str">
        <f>IF(VLOOKUP($A26,'Pre-Assessment Estimator'!$A$10:$Z$228,J$2,FALSE)=0,"",VLOOKUP($A26,'Pre-Assessment Estimator'!$A$10:$Z$228,J$2,FALSE))</f>
        <v/>
      </c>
      <c r="K26" s="577" t="str">
        <f>IF(VLOOKUP($A26,'Pre-Assessment Estimator'!$A$10:$Z$228,K$2,FALSE)=0,"",VLOOKUP($A26,'Pre-Assessment Estimator'!$A$10:$Z$228,K$2,FALSE))</f>
        <v/>
      </c>
      <c r="L26" s="578" t="str">
        <f>IF(VLOOKUP($A26,'Pre-Assessment Estimator'!$A$10:$Z$228,L$2,FALSE)=0,"",VLOOKUP($A26,'Pre-Assessment Estimator'!$A$10:$Z$228,L$2,FALSE))</f>
        <v/>
      </c>
      <c r="M26" s="579"/>
      <c r="N26" s="580" t="str">
        <f>IF(VLOOKUP($A26,'Pre-Assessment Estimator'!$A$10:$Z$228,N$2,FALSE)=0,"",VLOOKUP($A26,'Pre-Assessment Estimator'!$A$10:$Z$228,N$2,FALSE))</f>
        <v/>
      </c>
      <c r="O26" s="575">
        <f>VLOOKUP($A26,'Pre-Assessment Estimator'!$A$10:$Z$228,O$2,FALSE)</f>
        <v>0</v>
      </c>
      <c r="P26" s="574" t="str">
        <f>VLOOKUP($A26,'Pre-Assessment Estimator'!$A$10:$Z$228,P$2,FALSE)</f>
        <v>Very Good</v>
      </c>
      <c r="Q26" s="577" t="str">
        <f>IF(VLOOKUP($A26,'Pre-Assessment Estimator'!$A$10:$Z$228,Q$2,FALSE)=0,"",VLOOKUP($A26,'Pre-Assessment Estimator'!$A$10:$Z$228,Q$2,FALSE))</f>
        <v/>
      </c>
      <c r="R26" s="577" t="str">
        <f>IF(VLOOKUP($A26,'Pre-Assessment Estimator'!$A$10:$Z$228,R$2,FALSE)=0,"",VLOOKUP($A26,'Pre-Assessment Estimator'!$A$10:$Z$228,R$2,FALSE))</f>
        <v/>
      </c>
      <c r="S26" s="578" t="str">
        <f>IF(VLOOKUP($A26,'Pre-Assessment Estimator'!$A$10:$Z$228,S$2,FALSE)=0,"",VLOOKUP($A26,'Pre-Assessment Estimator'!$A$10:$Z$228,S$2,FALSE))</f>
        <v/>
      </c>
      <c r="T26" s="581"/>
      <c r="U26" s="580" t="str">
        <f>IF(VLOOKUP($A26,'Pre-Assessment Estimator'!$A$10:$Z$228,U$2,FALSE)=0,"",VLOOKUP($A26,'Pre-Assessment Estimator'!$A$10:$Z$228,U$2,FALSE))</f>
        <v/>
      </c>
      <c r="V26" s="575">
        <f>VLOOKUP($A26,'Pre-Assessment Estimator'!$A$10:$Z$228,V$2,FALSE)</f>
        <v>0</v>
      </c>
      <c r="W26" s="574" t="str">
        <f>VLOOKUP($A26,'Pre-Assessment Estimator'!$A$10:$Z$228,W$2,FALSE)</f>
        <v>Very Good</v>
      </c>
      <c r="X26" s="577" t="str">
        <f>IF(VLOOKUP($A26,'Pre-Assessment Estimator'!$A$10:$Z$228,X$2,FALSE)=0,"",VLOOKUP($A26,'Pre-Assessment Estimator'!$A$10:$Z$228,X$2,FALSE))</f>
        <v/>
      </c>
      <c r="Y26" s="577" t="str">
        <f>IF(VLOOKUP($A26,'Pre-Assessment Estimator'!$A$10:$Z$228,Y$2,FALSE)=0,"",VLOOKUP($A26,'Pre-Assessment Estimator'!$A$10:$Z$228,Y$2,FALSE))</f>
        <v/>
      </c>
      <c r="Z26" s="370" t="str">
        <f>IF(VLOOKUP($A26,'Pre-Assessment Estimator'!$A$10:$Z$228,Z$2,FALSE)=0,"",VLOOKUP($A26,'Pre-Assessment Estimator'!$A$10:$Z$228,Z$2,FALSE))</f>
        <v/>
      </c>
      <c r="AA26" s="696">
        <v>16</v>
      </c>
      <c r="AB26" s="577"/>
      <c r="AF26" s="386">
        <f t="shared" si="0"/>
        <v>1</v>
      </c>
      <c r="AG26" s="414"/>
      <c r="AL26" s="413"/>
    </row>
    <row r="27" spans="1:38" x14ac:dyDescent="0.25">
      <c r="A27" s="823">
        <v>18</v>
      </c>
      <c r="B27" s="1234" t="s">
        <v>61</v>
      </c>
      <c r="C27" s="1234"/>
      <c r="D27" s="1257" t="str">
        <f>VLOOKUP($A27,'Pre-Assessment Estimator'!$A$10:$Z$228,D$2,FALSE)</f>
        <v>Man 03</v>
      </c>
      <c r="E27" s="1258" t="str">
        <f>VLOOKUP($A27,'Pre-Assessment Estimator'!$A$10:$Z$228,E$2,FALSE)</f>
        <v>Energy consumption from transport of masses and waste (step 2-4)</v>
      </c>
      <c r="F27" s="574">
        <f>VLOOKUP($A27,'Pre-Assessment Estimator'!$A$10:$Z$228,F$2,FALSE)</f>
        <v>2</v>
      </c>
      <c r="G27" s="580" t="str">
        <f>IF(VLOOKUP($A27,'Pre-Assessment Estimator'!$A$10:$Z$228,G$2,FALSE)=0,"",VLOOKUP($A27,'Pre-Assessment Estimator'!$A$10:$Z$228,G$2,FALSE))</f>
        <v/>
      </c>
      <c r="H27" s="575">
        <f>VLOOKUP($A27,'Pre-Assessment Estimator'!$A$10:$Z$228,H$2,FALSE)</f>
        <v>0</v>
      </c>
      <c r="I27" s="574" t="str">
        <f>VLOOKUP($A27,'Pre-Assessment Estimator'!$A$10:$Z$228,I$2,FALSE)</f>
        <v>Very Good</v>
      </c>
      <c r="J27" s="577" t="str">
        <f>IF(VLOOKUP($A27,'Pre-Assessment Estimator'!$A$10:$Z$228,J$2,FALSE)=0,"",VLOOKUP($A27,'Pre-Assessment Estimator'!$A$10:$Z$228,J$2,FALSE))</f>
        <v/>
      </c>
      <c r="K27" s="577" t="str">
        <f>IF(VLOOKUP($A27,'Pre-Assessment Estimator'!$A$10:$Z$228,K$2,FALSE)=0,"",VLOOKUP($A27,'Pre-Assessment Estimator'!$A$10:$Z$228,K$2,FALSE))</f>
        <v/>
      </c>
      <c r="L27" s="578" t="str">
        <f>IF(VLOOKUP($A27,'Pre-Assessment Estimator'!$A$10:$Z$228,L$2,FALSE)=0,"",VLOOKUP($A27,'Pre-Assessment Estimator'!$A$10:$Z$228,L$2,FALSE))</f>
        <v/>
      </c>
      <c r="M27" s="579"/>
      <c r="N27" s="580" t="str">
        <f>IF(VLOOKUP($A27,'Pre-Assessment Estimator'!$A$10:$Z$228,N$2,FALSE)=0,"",VLOOKUP($A27,'Pre-Assessment Estimator'!$A$10:$Z$228,N$2,FALSE))</f>
        <v/>
      </c>
      <c r="O27" s="575">
        <f>VLOOKUP($A27,'Pre-Assessment Estimator'!$A$10:$Z$228,O$2,FALSE)</f>
        <v>0</v>
      </c>
      <c r="P27" s="574" t="str">
        <f>VLOOKUP($A27,'Pre-Assessment Estimator'!$A$10:$Z$228,P$2,FALSE)</f>
        <v>Very Good</v>
      </c>
      <c r="Q27" s="577" t="str">
        <f>IF(VLOOKUP($A27,'Pre-Assessment Estimator'!$A$10:$Z$228,Q$2,FALSE)=0,"",VLOOKUP($A27,'Pre-Assessment Estimator'!$A$10:$Z$228,Q$2,FALSE))</f>
        <v/>
      </c>
      <c r="R27" s="577" t="str">
        <f>IF(VLOOKUP($A27,'Pre-Assessment Estimator'!$A$10:$Z$228,R$2,FALSE)=0,"",VLOOKUP($A27,'Pre-Assessment Estimator'!$A$10:$Z$228,R$2,FALSE))</f>
        <v/>
      </c>
      <c r="S27" s="578" t="str">
        <f>IF(VLOOKUP($A27,'Pre-Assessment Estimator'!$A$10:$Z$228,S$2,FALSE)=0,"",VLOOKUP($A27,'Pre-Assessment Estimator'!$A$10:$Z$228,S$2,FALSE))</f>
        <v/>
      </c>
      <c r="T27" s="581"/>
      <c r="U27" s="580" t="str">
        <f>IF(VLOOKUP($A27,'Pre-Assessment Estimator'!$A$10:$Z$228,U$2,FALSE)=0,"",VLOOKUP($A27,'Pre-Assessment Estimator'!$A$10:$Z$228,U$2,FALSE))</f>
        <v/>
      </c>
      <c r="V27" s="575">
        <f>VLOOKUP($A27,'Pre-Assessment Estimator'!$A$10:$Z$228,V$2,FALSE)</f>
        <v>0</v>
      </c>
      <c r="W27" s="574" t="str">
        <f>VLOOKUP($A27,'Pre-Assessment Estimator'!$A$10:$Z$228,W$2,FALSE)</f>
        <v>Very Good</v>
      </c>
      <c r="X27" s="577" t="str">
        <f>IF(VLOOKUP($A27,'Pre-Assessment Estimator'!$A$10:$Z$228,X$2,FALSE)=0,"",VLOOKUP($A27,'Pre-Assessment Estimator'!$A$10:$Z$228,X$2,FALSE))</f>
        <v/>
      </c>
      <c r="Y27" s="577" t="str">
        <f>IF(VLOOKUP($A27,'Pre-Assessment Estimator'!$A$10:$Z$228,Y$2,FALSE)=0,"",VLOOKUP($A27,'Pre-Assessment Estimator'!$A$10:$Z$228,Y$2,FALSE))</f>
        <v/>
      </c>
      <c r="Z27" s="370" t="str">
        <f>IF(VLOOKUP($A27,'Pre-Assessment Estimator'!$A$10:$Z$228,Z$2,FALSE)=0,"",VLOOKUP($A27,'Pre-Assessment Estimator'!$A$10:$Z$228,Z$2,FALSE))</f>
        <v/>
      </c>
      <c r="AA27" s="696">
        <v>17</v>
      </c>
      <c r="AB27" s="577"/>
      <c r="AF27" s="386">
        <f t="shared" si="0"/>
        <v>1</v>
      </c>
      <c r="AG27" s="414"/>
      <c r="AL27" s="413"/>
    </row>
    <row r="28" spans="1:38" x14ac:dyDescent="0.25">
      <c r="A28" s="823">
        <v>19</v>
      </c>
      <c r="B28" s="1234" t="s">
        <v>61</v>
      </c>
      <c r="C28" s="1234"/>
      <c r="D28" s="1256" t="str">
        <f>VLOOKUP($A28,'Pre-Assessment Estimator'!$A$10:$Z$228,D$2,FALSE)</f>
        <v>Man 04</v>
      </c>
      <c r="E28" s="1256" t="str">
        <f>VLOOKUP($A28,'Pre-Assessment Estimator'!$A$10:$Z$228,E$2,FALSE)</f>
        <v>Man 04 Commissioning and handover</v>
      </c>
      <c r="F28" s="574">
        <f>VLOOKUP($A28,'Pre-Assessment Estimator'!$A$10:$Z$228,F$2,FALSE)</f>
        <v>3</v>
      </c>
      <c r="G28" s="580" t="str">
        <f>IF(VLOOKUP($A28,'Pre-Assessment Estimator'!$A$10:$Z$228,G$2,FALSE)=0,"",VLOOKUP($A28,'Pre-Assessment Estimator'!$A$10:$Z$228,G$2,FALSE))</f>
        <v/>
      </c>
      <c r="H28" s="575" t="str">
        <f>VLOOKUP($A28,'Pre-Assessment Estimator'!$A$10:$Z$228,H$2,FALSE)</f>
        <v>0 c. 0 %</v>
      </c>
      <c r="I28" s="574" t="str">
        <f>VLOOKUP($A28,'Pre-Assessment Estimator'!$A$10:$Z$228,I$2,FALSE)</f>
        <v>N/A</v>
      </c>
      <c r="J28" s="577" t="str">
        <f>IF(VLOOKUP($A28,'Pre-Assessment Estimator'!$A$10:$Z$228,J$2,FALSE)=0,"",VLOOKUP($A28,'Pre-Assessment Estimator'!$A$10:$Z$228,J$2,FALSE))</f>
        <v/>
      </c>
      <c r="K28" s="577" t="str">
        <f>IF(VLOOKUP($A28,'Pre-Assessment Estimator'!$A$10:$Z$228,K$2,FALSE)=0,"",VLOOKUP($A28,'Pre-Assessment Estimator'!$A$10:$Z$228,K$2,FALSE))</f>
        <v/>
      </c>
      <c r="L28" s="578" t="str">
        <f>IF(VLOOKUP($A28,'Pre-Assessment Estimator'!$A$10:$Z$228,L$2,FALSE)=0,"",VLOOKUP($A28,'Pre-Assessment Estimator'!$A$10:$Z$228,L$2,FALSE))</f>
        <v/>
      </c>
      <c r="M28" s="579"/>
      <c r="N28" s="580" t="str">
        <f>IF(VLOOKUP($A28,'Pre-Assessment Estimator'!$A$10:$Z$228,N$2,FALSE)=0,"",VLOOKUP($A28,'Pre-Assessment Estimator'!$A$10:$Z$228,N$2,FALSE))</f>
        <v/>
      </c>
      <c r="O28" s="575" t="str">
        <f>VLOOKUP($A28,'Pre-Assessment Estimator'!$A$10:$Z$228,O$2,FALSE)</f>
        <v>0 c. 0 %</v>
      </c>
      <c r="P28" s="574" t="str">
        <f>VLOOKUP($A28,'Pre-Assessment Estimator'!$A$10:$Z$228,P$2,FALSE)</f>
        <v>N/A</v>
      </c>
      <c r="Q28" s="577" t="str">
        <f>IF(VLOOKUP($A28,'Pre-Assessment Estimator'!$A$10:$Z$228,Q$2,FALSE)=0,"",VLOOKUP($A28,'Pre-Assessment Estimator'!$A$10:$Z$228,Q$2,FALSE))</f>
        <v/>
      </c>
      <c r="R28" s="577" t="str">
        <f>IF(VLOOKUP($A28,'Pre-Assessment Estimator'!$A$10:$Z$228,R$2,FALSE)=0,"",VLOOKUP($A28,'Pre-Assessment Estimator'!$A$10:$Z$228,R$2,FALSE))</f>
        <v/>
      </c>
      <c r="S28" s="578" t="str">
        <f>IF(VLOOKUP($A28,'Pre-Assessment Estimator'!$A$10:$Z$228,S$2,FALSE)=0,"",VLOOKUP($A28,'Pre-Assessment Estimator'!$A$10:$Z$228,S$2,FALSE))</f>
        <v/>
      </c>
      <c r="T28" s="581"/>
      <c r="U28" s="580" t="str">
        <f>IF(VLOOKUP($A28,'Pre-Assessment Estimator'!$A$10:$Z$228,U$2,FALSE)=0,"",VLOOKUP($A28,'Pre-Assessment Estimator'!$A$10:$Z$228,U$2,FALSE))</f>
        <v/>
      </c>
      <c r="V28" s="575" t="str">
        <f>VLOOKUP($A28,'Pre-Assessment Estimator'!$A$10:$Z$228,V$2,FALSE)</f>
        <v>0 c. 0 %</v>
      </c>
      <c r="W28" s="574" t="str">
        <f>VLOOKUP($A28,'Pre-Assessment Estimator'!$A$10:$Z$228,W$2,FALSE)</f>
        <v>N/A</v>
      </c>
      <c r="X28" s="577" t="str">
        <f>IF(VLOOKUP($A28,'Pre-Assessment Estimator'!$A$10:$Z$228,X$2,FALSE)=0,"",VLOOKUP($A28,'Pre-Assessment Estimator'!$A$10:$Z$228,X$2,FALSE))</f>
        <v/>
      </c>
      <c r="Y28" s="577" t="str">
        <f>IF(VLOOKUP($A28,'Pre-Assessment Estimator'!$A$10:$Z$228,Y$2,FALSE)=0,"",VLOOKUP($A28,'Pre-Assessment Estimator'!$A$10:$Z$228,Y$2,FALSE))</f>
        <v/>
      </c>
      <c r="Z28" s="370" t="str">
        <f>IF(VLOOKUP($A28,'Pre-Assessment Estimator'!$A$10:$Z$228,Z$2,FALSE)=0,"",VLOOKUP($A28,'Pre-Assessment Estimator'!$A$10:$Z$228,Z$2,FALSE))</f>
        <v/>
      </c>
      <c r="AA28" s="696">
        <v>18</v>
      </c>
      <c r="AB28" s="577"/>
      <c r="AF28" s="386">
        <f t="shared" si="0"/>
        <v>1</v>
      </c>
      <c r="AG28" s="414"/>
      <c r="AL28" s="413"/>
    </row>
    <row r="29" spans="1:38" x14ac:dyDescent="0.25">
      <c r="A29" s="823">
        <v>20</v>
      </c>
      <c r="B29" s="1234" t="s">
        <v>61</v>
      </c>
      <c r="C29" s="1234"/>
      <c r="D29" s="1257" t="str">
        <f>VLOOKUP($A29,'Pre-Assessment Estimator'!$A$10:$Z$228,D$2,FALSE)</f>
        <v>Man 04</v>
      </c>
      <c r="E29" s="1258" t="str">
        <f>VLOOKUP($A29,'Pre-Assessment Estimator'!$A$10:$Z$228,E$2,FALSE)</f>
        <v xml:space="preserve">Commissioning - testing schedule and responsibilities </v>
      </c>
      <c r="F29" s="574">
        <f>VLOOKUP($A29,'Pre-Assessment Estimator'!$A$10:$Z$228,F$2,FALSE)</f>
        <v>1</v>
      </c>
      <c r="G29" s="580" t="str">
        <f>IF(VLOOKUP($A29,'Pre-Assessment Estimator'!$A$10:$Z$228,G$2,FALSE)=0,"",VLOOKUP($A29,'Pre-Assessment Estimator'!$A$10:$Z$228,G$2,FALSE))</f>
        <v/>
      </c>
      <c r="H29" s="575">
        <f>VLOOKUP($A29,'Pre-Assessment Estimator'!$A$10:$Z$228,H$2,FALSE)</f>
        <v>0</v>
      </c>
      <c r="I29" s="574" t="str">
        <f>VLOOKUP($A29,'Pre-Assessment Estimator'!$A$10:$Z$228,I$2,FALSE)</f>
        <v>Unclassified</v>
      </c>
      <c r="J29" s="577" t="str">
        <f>IF(VLOOKUP($A29,'Pre-Assessment Estimator'!$A$10:$Z$228,J$2,FALSE)=0,"",VLOOKUP($A29,'Pre-Assessment Estimator'!$A$10:$Z$228,J$2,FALSE))</f>
        <v/>
      </c>
      <c r="K29" s="577" t="str">
        <f>IF(VLOOKUP($A29,'Pre-Assessment Estimator'!$A$10:$Z$228,K$2,FALSE)=0,"",VLOOKUP($A29,'Pre-Assessment Estimator'!$A$10:$Z$228,K$2,FALSE))</f>
        <v/>
      </c>
      <c r="L29" s="578" t="str">
        <f>IF(VLOOKUP($A29,'Pre-Assessment Estimator'!$A$10:$Z$228,L$2,FALSE)=0,"",VLOOKUP($A29,'Pre-Assessment Estimator'!$A$10:$Z$228,L$2,FALSE))</f>
        <v/>
      </c>
      <c r="M29" s="579"/>
      <c r="N29" s="580" t="str">
        <f>IF(VLOOKUP($A29,'Pre-Assessment Estimator'!$A$10:$Z$228,N$2,FALSE)=0,"",VLOOKUP($A29,'Pre-Assessment Estimator'!$A$10:$Z$228,N$2,FALSE))</f>
        <v/>
      </c>
      <c r="O29" s="575">
        <f>VLOOKUP($A29,'Pre-Assessment Estimator'!$A$10:$Z$228,O$2,FALSE)</f>
        <v>0</v>
      </c>
      <c r="P29" s="574" t="str">
        <f>VLOOKUP($A29,'Pre-Assessment Estimator'!$A$10:$Z$228,P$2,FALSE)</f>
        <v>Unclassified</v>
      </c>
      <c r="Q29" s="577" t="str">
        <f>IF(VLOOKUP($A29,'Pre-Assessment Estimator'!$A$10:$Z$228,Q$2,FALSE)=0,"",VLOOKUP($A29,'Pre-Assessment Estimator'!$A$10:$Z$228,Q$2,FALSE))</f>
        <v/>
      </c>
      <c r="R29" s="577" t="str">
        <f>IF(VLOOKUP($A29,'Pre-Assessment Estimator'!$A$10:$Z$228,R$2,FALSE)=0,"",VLOOKUP($A29,'Pre-Assessment Estimator'!$A$10:$Z$228,R$2,FALSE))</f>
        <v/>
      </c>
      <c r="S29" s="578" t="str">
        <f>IF(VLOOKUP($A29,'Pre-Assessment Estimator'!$A$10:$Z$228,S$2,FALSE)=0,"",VLOOKUP($A29,'Pre-Assessment Estimator'!$A$10:$Z$228,S$2,FALSE))</f>
        <v/>
      </c>
      <c r="T29" s="581"/>
      <c r="U29" s="580" t="str">
        <f>IF(VLOOKUP($A29,'Pre-Assessment Estimator'!$A$10:$Z$228,U$2,FALSE)=0,"",VLOOKUP($A29,'Pre-Assessment Estimator'!$A$10:$Z$228,U$2,FALSE))</f>
        <v/>
      </c>
      <c r="V29" s="575">
        <f>VLOOKUP($A29,'Pre-Assessment Estimator'!$A$10:$Z$228,V$2,FALSE)</f>
        <v>0</v>
      </c>
      <c r="W29" s="574" t="str">
        <f>VLOOKUP($A29,'Pre-Assessment Estimator'!$A$10:$Z$228,W$2,FALSE)</f>
        <v>Unclassified</v>
      </c>
      <c r="X29" s="577" t="str">
        <f>IF(VLOOKUP($A29,'Pre-Assessment Estimator'!$A$10:$Z$228,X$2,FALSE)=0,"",VLOOKUP($A29,'Pre-Assessment Estimator'!$A$10:$Z$228,X$2,FALSE))</f>
        <v/>
      </c>
      <c r="Y29" s="577" t="str">
        <f>IF(VLOOKUP($A29,'Pre-Assessment Estimator'!$A$10:$Z$228,Y$2,FALSE)=0,"",VLOOKUP($A29,'Pre-Assessment Estimator'!$A$10:$Z$228,Y$2,FALSE))</f>
        <v/>
      </c>
      <c r="Z29" s="370" t="str">
        <f>IF(VLOOKUP($A29,'Pre-Assessment Estimator'!$A$10:$Z$228,Z$2,FALSE)=0,"",VLOOKUP($A29,'Pre-Assessment Estimator'!$A$10:$Z$228,Z$2,FALSE))</f>
        <v/>
      </c>
      <c r="AA29" s="696">
        <v>19</v>
      </c>
      <c r="AB29" s="577"/>
      <c r="AF29" s="386">
        <f t="shared" si="0"/>
        <v>1</v>
      </c>
      <c r="AG29" s="414"/>
      <c r="AL29" s="413"/>
    </row>
    <row r="30" spans="1:38" x14ac:dyDescent="0.25">
      <c r="A30" s="823">
        <v>21</v>
      </c>
      <c r="B30" s="1234" t="s">
        <v>61</v>
      </c>
      <c r="C30" s="1234"/>
      <c r="D30" s="1257" t="str">
        <f>VLOOKUP($A30,'Pre-Assessment Estimator'!$A$10:$Z$228,D$2,FALSE)</f>
        <v>Man 04</v>
      </c>
      <c r="E30" s="1258" t="str">
        <f>VLOOKUP($A30,'Pre-Assessment Estimator'!$A$10:$Z$228,E$2,FALSE)</f>
        <v>Commissioning - design, preperation and implementation</v>
      </c>
      <c r="F30" s="574">
        <f>VLOOKUP($A30,'Pre-Assessment Estimator'!$A$10:$Z$228,F$2,FALSE)</f>
        <v>1</v>
      </c>
      <c r="G30" s="580" t="str">
        <f>IF(VLOOKUP($A30,'Pre-Assessment Estimator'!$A$10:$Z$228,G$2,FALSE)=0,"",VLOOKUP($A30,'Pre-Assessment Estimator'!$A$10:$Z$228,G$2,FALSE))</f>
        <v/>
      </c>
      <c r="H30" s="575">
        <f>VLOOKUP($A30,'Pre-Assessment Estimator'!$A$10:$Z$228,H$2,FALSE)</f>
        <v>0</v>
      </c>
      <c r="I30" s="574" t="str">
        <f>VLOOKUP($A30,'Pre-Assessment Estimator'!$A$10:$Z$228,I$2,FALSE)</f>
        <v>N/A</v>
      </c>
      <c r="J30" s="577" t="str">
        <f>IF(VLOOKUP($A30,'Pre-Assessment Estimator'!$A$10:$Z$228,J$2,FALSE)=0,"",VLOOKUP($A30,'Pre-Assessment Estimator'!$A$10:$Z$228,J$2,FALSE))</f>
        <v/>
      </c>
      <c r="K30" s="577" t="str">
        <f>IF(VLOOKUP($A30,'Pre-Assessment Estimator'!$A$10:$Z$228,K$2,FALSE)=0,"",VLOOKUP($A30,'Pre-Assessment Estimator'!$A$10:$Z$228,K$2,FALSE))</f>
        <v/>
      </c>
      <c r="L30" s="578" t="str">
        <f>IF(VLOOKUP($A30,'Pre-Assessment Estimator'!$A$10:$Z$228,L$2,FALSE)=0,"",VLOOKUP($A30,'Pre-Assessment Estimator'!$A$10:$Z$228,L$2,FALSE))</f>
        <v/>
      </c>
      <c r="M30" s="579"/>
      <c r="N30" s="580" t="str">
        <f>IF(VLOOKUP($A30,'Pre-Assessment Estimator'!$A$10:$Z$228,N$2,FALSE)=0,"",VLOOKUP($A30,'Pre-Assessment Estimator'!$A$10:$Z$228,N$2,FALSE))</f>
        <v/>
      </c>
      <c r="O30" s="575">
        <f>VLOOKUP($A30,'Pre-Assessment Estimator'!$A$10:$Z$228,O$2,FALSE)</f>
        <v>0</v>
      </c>
      <c r="P30" s="574" t="str">
        <f>VLOOKUP($A30,'Pre-Assessment Estimator'!$A$10:$Z$228,P$2,FALSE)</f>
        <v>N/A</v>
      </c>
      <c r="Q30" s="577" t="str">
        <f>IF(VLOOKUP($A30,'Pre-Assessment Estimator'!$A$10:$Z$228,Q$2,FALSE)=0,"",VLOOKUP($A30,'Pre-Assessment Estimator'!$A$10:$Z$228,Q$2,FALSE))</f>
        <v/>
      </c>
      <c r="R30" s="577" t="str">
        <f>IF(VLOOKUP($A30,'Pre-Assessment Estimator'!$A$10:$Z$228,R$2,FALSE)=0,"",VLOOKUP($A30,'Pre-Assessment Estimator'!$A$10:$Z$228,R$2,FALSE))</f>
        <v/>
      </c>
      <c r="S30" s="578" t="str">
        <f>IF(VLOOKUP($A30,'Pre-Assessment Estimator'!$A$10:$Z$228,S$2,FALSE)=0,"",VLOOKUP($A30,'Pre-Assessment Estimator'!$A$10:$Z$228,S$2,FALSE))</f>
        <v/>
      </c>
      <c r="T30" s="581"/>
      <c r="U30" s="580" t="str">
        <f>IF(VLOOKUP($A30,'Pre-Assessment Estimator'!$A$10:$Z$228,U$2,FALSE)=0,"",VLOOKUP($A30,'Pre-Assessment Estimator'!$A$10:$Z$228,U$2,FALSE))</f>
        <v/>
      </c>
      <c r="V30" s="575">
        <f>VLOOKUP($A30,'Pre-Assessment Estimator'!$A$10:$Z$228,V$2,FALSE)</f>
        <v>0</v>
      </c>
      <c r="W30" s="574" t="str">
        <f>VLOOKUP($A30,'Pre-Assessment Estimator'!$A$10:$Z$228,W$2,FALSE)</f>
        <v>N/A</v>
      </c>
      <c r="X30" s="577" t="str">
        <f>IF(VLOOKUP($A30,'Pre-Assessment Estimator'!$A$10:$Z$228,X$2,FALSE)=0,"",VLOOKUP($A30,'Pre-Assessment Estimator'!$A$10:$Z$228,X$2,FALSE))</f>
        <v/>
      </c>
      <c r="Y30" s="577" t="str">
        <f>IF(VLOOKUP($A30,'Pre-Assessment Estimator'!$A$10:$Z$228,Y$2,FALSE)=0,"",VLOOKUP($A30,'Pre-Assessment Estimator'!$A$10:$Z$228,Y$2,FALSE))</f>
        <v/>
      </c>
      <c r="Z30" s="370" t="str">
        <f>IF(VLOOKUP($A30,'Pre-Assessment Estimator'!$A$10:$Z$228,Z$2,FALSE)=0,"",VLOOKUP($A30,'Pre-Assessment Estimator'!$A$10:$Z$228,Z$2,FALSE))</f>
        <v/>
      </c>
      <c r="AA30" s="696">
        <v>20</v>
      </c>
      <c r="AB30" s="577"/>
      <c r="AF30" s="386">
        <f t="shared" si="0"/>
        <v>1</v>
      </c>
      <c r="AG30" s="414"/>
      <c r="AL30" s="413"/>
    </row>
    <row r="31" spans="1:38" x14ac:dyDescent="0.25">
      <c r="A31" s="823">
        <v>22</v>
      </c>
      <c r="B31" s="1234" t="s">
        <v>61</v>
      </c>
      <c r="C31" s="1234"/>
      <c r="D31" s="1257" t="str">
        <f>VLOOKUP($A31,'Pre-Assessment Estimator'!$A$10:$Z$228,D$2,FALSE)</f>
        <v>Man 04</v>
      </c>
      <c r="E31" s="1258" t="str">
        <f>VLOOKUP($A31,'Pre-Assessment Estimator'!$A$10:$Z$228,E$2,FALSE)</f>
        <v>Prepare for good handover</v>
      </c>
      <c r="F31" s="574">
        <f>VLOOKUP($A31,'Pre-Assessment Estimator'!$A$10:$Z$228,F$2,FALSE)</f>
        <v>1</v>
      </c>
      <c r="G31" s="580" t="str">
        <f>IF(VLOOKUP($A31,'Pre-Assessment Estimator'!$A$10:$Z$228,G$2,FALSE)=0,"",VLOOKUP($A31,'Pre-Assessment Estimator'!$A$10:$Z$228,G$2,FALSE))</f>
        <v/>
      </c>
      <c r="H31" s="575">
        <f>VLOOKUP($A31,'Pre-Assessment Estimator'!$A$10:$Z$228,H$2,FALSE)</f>
        <v>0</v>
      </c>
      <c r="I31" s="574" t="str">
        <f>VLOOKUP($A31,'Pre-Assessment Estimator'!$A$10:$Z$228,I$2,FALSE)</f>
        <v>Good</v>
      </c>
      <c r="J31" s="577" t="str">
        <f>IF(VLOOKUP($A31,'Pre-Assessment Estimator'!$A$10:$Z$228,J$2,FALSE)=0,"",VLOOKUP($A31,'Pre-Assessment Estimator'!$A$10:$Z$228,J$2,FALSE))</f>
        <v/>
      </c>
      <c r="K31" s="577" t="str">
        <f>IF(VLOOKUP($A31,'Pre-Assessment Estimator'!$A$10:$Z$228,K$2,FALSE)=0,"",VLOOKUP($A31,'Pre-Assessment Estimator'!$A$10:$Z$228,K$2,FALSE))</f>
        <v/>
      </c>
      <c r="L31" s="578" t="str">
        <f>IF(VLOOKUP($A31,'Pre-Assessment Estimator'!$A$10:$Z$228,L$2,FALSE)=0,"",VLOOKUP($A31,'Pre-Assessment Estimator'!$A$10:$Z$228,L$2,FALSE))</f>
        <v/>
      </c>
      <c r="M31" s="579"/>
      <c r="N31" s="580" t="str">
        <f>IF(VLOOKUP($A31,'Pre-Assessment Estimator'!$A$10:$Z$228,N$2,FALSE)=0,"",VLOOKUP($A31,'Pre-Assessment Estimator'!$A$10:$Z$228,N$2,FALSE))</f>
        <v/>
      </c>
      <c r="O31" s="575">
        <f>VLOOKUP($A31,'Pre-Assessment Estimator'!$A$10:$Z$228,O$2,FALSE)</f>
        <v>0</v>
      </c>
      <c r="P31" s="574" t="str">
        <f>VLOOKUP($A31,'Pre-Assessment Estimator'!$A$10:$Z$228,P$2,FALSE)</f>
        <v>Good</v>
      </c>
      <c r="Q31" s="577" t="str">
        <f>IF(VLOOKUP($A31,'Pre-Assessment Estimator'!$A$10:$Z$228,Q$2,FALSE)=0,"",VLOOKUP($A31,'Pre-Assessment Estimator'!$A$10:$Z$228,Q$2,FALSE))</f>
        <v/>
      </c>
      <c r="R31" s="577" t="str">
        <f>IF(VLOOKUP($A31,'Pre-Assessment Estimator'!$A$10:$Z$228,R$2,FALSE)=0,"",VLOOKUP($A31,'Pre-Assessment Estimator'!$A$10:$Z$228,R$2,FALSE))</f>
        <v/>
      </c>
      <c r="S31" s="578" t="str">
        <f>IF(VLOOKUP($A31,'Pre-Assessment Estimator'!$A$10:$Z$228,S$2,FALSE)=0,"",VLOOKUP($A31,'Pre-Assessment Estimator'!$A$10:$Z$228,S$2,FALSE))</f>
        <v/>
      </c>
      <c r="T31" s="581"/>
      <c r="U31" s="580" t="str">
        <f>IF(VLOOKUP($A31,'Pre-Assessment Estimator'!$A$10:$Z$228,U$2,FALSE)=0,"",VLOOKUP($A31,'Pre-Assessment Estimator'!$A$10:$Z$228,U$2,FALSE))</f>
        <v/>
      </c>
      <c r="V31" s="575">
        <f>VLOOKUP($A31,'Pre-Assessment Estimator'!$A$10:$Z$228,V$2,FALSE)</f>
        <v>0</v>
      </c>
      <c r="W31" s="574" t="str">
        <f>VLOOKUP($A31,'Pre-Assessment Estimator'!$A$10:$Z$228,W$2,FALSE)</f>
        <v>Good</v>
      </c>
      <c r="X31" s="577" t="str">
        <f>IF(VLOOKUP($A31,'Pre-Assessment Estimator'!$A$10:$Z$228,X$2,FALSE)=0,"",VLOOKUP($A31,'Pre-Assessment Estimator'!$A$10:$Z$228,X$2,FALSE))</f>
        <v/>
      </c>
      <c r="Y31" s="577" t="str">
        <f>IF(VLOOKUP($A31,'Pre-Assessment Estimator'!$A$10:$Z$228,Y$2,FALSE)=0,"",VLOOKUP($A31,'Pre-Assessment Estimator'!$A$10:$Z$228,Y$2,FALSE))</f>
        <v/>
      </c>
      <c r="Z31" s="370" t="str">
        <f>IF(VLOOKUP($A31,'Pre-Assessment Estimator'!$A$10:$Z$228,Z$2,FALSE)=0,"",VLOOKUP($A31,'Pre-Assessment Estimator'!$A$10:$Z$228,Z$2,FALSE))</f>
        <v/>
      </c>
      <c r="AA31" s="696">
        <v>21</v>
      </c>
      <c r="AB31" s="577"/>
      <c r="AF31" s="386">
        <f t="shared" si="0"/>
        <v>1</v>
      </c>
      <c r="AG31" s="414"/>
      <c r="AL31" s="413"/>
    </row>
    <row r="32" spans="1:38" x14ac:dyDescent="0.25">
      <c r="A32" s="823">
        <v>23</v>
      </c>
      <c r="B32" s="1234" t="s">
        <v>61</v>
      </c>
      <c r="C32" s="1234"/>
      <c r="D32" s="1256" t="str">
        <f>VLOOKUP($A32,'Pre-Assessment Estimator'!$A$10:$Z$228,D$2,FALSE)</f>
        <v>Man 05</v>
      </c>
      <c r="E32" s="1256" t="str">
        <f>VLOOKUP($A32,'Pre-Assessment Estimator'!$A$10:$Z$228,E$2,FALSE)</f>
        <v>Man 05 Aftercare</v>
      </c>
      <c r="F32" s="574">
        <f>VLOOKUP($A32,'Pre-Assessment Estimator'!$A$10:$Z$228,F$2,FALSE)</f>
        <v>3</v>
      </c>
      <c r="G32" s="580" t="str">
        <f>IF(VLOOKUP($A32,'Pre-Assessment Estimator'!$A$10:$Z$228,G$2,FALSE)=0,"",VLOOKUP($A32,'Pre-Assessment Estimator'!$A$10:$Z$228,G$2,FALSE))</f>
        <v/>
      </c>
      <c r="H32" s="575" t="str">
        <f>VLOOKUP($A32,'Pre-Assessment Estimator'!$A$10:$Z$228,H$2,FALSE)</f>
        <v>0 c. 0 %</v>
      </c>
      <c r="I32" s="574" t="str">
        <f>VLOOKUP($A32,'Pre-Assessment Estimator'!$A$10:$Z$228,I$2,FALSE)</f>
        <v>N/A</v>
      </c>
      <c r="J32" s="577" t="str">
        <f>IF(VLOOKUP($A32,'Pre-Assessment Estimator'!$A$10:$Z$228,J$2,FALSE)=0,"",VLOOKUP($A32,'Pre-Assessment Estimator'!$A$10:$Z$228,J$2,FALSE))</f>
        <v/>
      </c>
      <c r="K32" s="577" t="str">
        <f>IF(VLOOKUP($A32,'Pre-Assessment Estimator'!$A$10:$Z$228,K$2,FALSE)=0,"",VLOOKUP($A32,'Pre-Assessment Estimator'!$A$10:$Z$228,K$2,FALSE))</f>
        <v/>
      </c>
      <c r="L32" s="578" t="str">
        <f>IF(VLOOKUP($A32,'Pre-Assessment Estimator'!$A$10:$Z$228,L$2,FALSE)=0,"",VLOOKUP($A32,'Pre-Assessment Estimator'!$A$10:$Z$228,L$2,FALSE))</f>
        <v/>
      </c>
      <c r="M32" s="579"/>
      <c r="N32" s="580" t="str">
        <f>IF(VLOOKUP($A32,'Pre-Assessment Estimator'!$A$10:$Z$228,N$2,FALSE)=0,"",VLOOKUP($A32,'Pre-Assessment Estimator'!$A$10:$Z$228,N$2,FALSE))</f>
        <v/>
      </c>
      <c r="O32" s="575" t="str">
        <f>VLOOKUP($A32,'Pre-Assessment Estimator'!$A$10:$Z$228,O$2,FALSE)</f>
        <v>0 c. 0 %</v>
      </c>
      <c r="P32" s="574" t="str">
        <f>VLOOKUP($A32,'Pre-Assessment Estimator'!$A$10:$Z$228,P$2,FALSE)</f>
        <v>N/A</v>
      </c>
      <c r="Q32" s="577" t="str">
        <f>IF(VLOOKUP($A32,'Pre-Assessment Estimator'!$A$10:$Z$228,Q$2,FALSE)=0,"",VLOOKUP($A32,'Pre-Assessment Estimator'!$A$10:$Z$228,Q$2,FALSE))</f>
        <v/>
      </c>
      <c r="R32" s="577" t="str">
        <f>IF(VLOOKUP($A32,'Pre-Assessment Estimator'!$A$10:$Z$228,R$2,FALSE)=0,"",VLOOKUP($A32,'Pre-Assessment Estimator'!$A$10:$Z$228,R$2,FALSE))</f>
        <v/>
      </c>
      <c r="S32" s="578" t="str">
        <f>IF(VLOOKUP($A32,'Pre-Assessment Estimator'!$A$10:$Z$228,S$2,FALSE)=0,"",VLOOKUP($A32,'Pre-Assessment Estimator'!$A$10:$Z$228,S$2,FALSE))</f>
        <v/>
      </c>
      <c r="T32" s="581"/>
      <c r="U32" s="580" t="str">
        <f>IF(VLOOKUP($A32,'Pre-Assessment Estimator'!$A$10:$Z$228,U$2,FALSE)=0,"",VLOOKUP($A32,'Pre-Assessment Estimator'!$A$10:$Z$228,U$2,FALSE))</f>
        <v/>
      </c>
      <c r="V32" s="575" t="str">
        <f>VLOOKUP($A32,'Pre-Assessment Estimator'!$A$10:$Z$228,V$2,FALSE)</f>
        <v>0 c. 0 %</v>
      </c>
      <c r="W32" s="574" t="str">
        <f>VLOOKUP($A32,'Pre-Assessment Estimator'!$A$10:$Z$228,W$2,FALSE)</f>
        <v>N/A</v>
      </c>
      <c r="X32" s="577" t="str">
        <f>IF(VLOOKUP($A32,'Pre-Assessment Estimator'!$A$10:$Z$228,X$2,FALSE)=0,"",VLOOKUP($A32,'Pre-Assessment Estimator'!$A$10:$Z$228,X$2,FALSE))</f>
        <v/>
      </c>
      <c r="Y32" s="577" t="str">
        <f>IF(VLOOKUP($A32,'Pre-Assessment Estimator'!$A$10:$Z$228,Y$2,FALSE)=0,"",VLOOKUP($A32,'Pre-Assessment Estimator'!$A$10:$Z$228,Y$2,FALSE))</f>
        <v/>
      </c>
      <c r="Z32" s="370" t="str">
        <f>IF(VLOOKUP($A32,'Pre-Assessment Estimator'!$A$10:$Z$228,Z$2,FALSE)=0,"",VLOOKUP($A32,'Pre-Assessment Estimator'!$A$10:$Z$228,Z$2,FALSE))</f>
        <v/>
      </c>
      <c r="AA32" s="696">
        <v>22</v>
      </c>
      <c r="AB32" s="577"/>
      <c r="AF32" s="386">
        <f t="shared" si="0"/>
        <v>1</v>
      </c>
      <c r="AG32" s="414"/>
      <c r="AL32" s="413"/>
    </row>
    <row r="33" spans="1:42" x14ac:dyDescent="0.25">
      <c r="A33" s="823">
        <v>24</v>
      </c>
      <c r="B33" s="1234" t="s">
        <v>61</v>
      </c>
      <c r="C33" s="1234"/>
      <c r="D33" s="1257" t="str">
        <f>VLOOKUP($A33,'Pre-Assessment Estimator'!$A$10:$Z$228,D$2,FALSE)</f>
        <v>Man 05</v>
      </c>
      <c r="E33" s="1258" t="str">
        <f>VLOOKUP($A33,'Pre-Assessment Estimator'!$A$10:$Z$228,E$2,FALSE)</f>
        <v>Aftercare support</v>
      </c>
      <c r="F33" s="574">
        <f>VLOOKUP($A33,'Pre-Assessment Estimator'!$A$10:$Z$228,F$2,FALSE)</f>
        <v>1</v>
      </c>
      <c r="G33" s="580" t="str">
        <f>IF(VLOOKUP($A33,'Pre-Assessment Estimator'!$A$10:$Z$228,G$2,FALSE)=0,"",VLOOKUP($A33,'Pre-Assessment Estimator'!$A$10:$Z$228,G$2,FALSE))</f>
        <v/>
      </c>
      <c r="H33" s="575">
        <f>VLOOKUP($A33,'Pre-Assessment Estimator'!$A$10:$Z$228,H$2,FALSE)</f>
        <v>0</v>
      </c>
      <c r="I33" s="574" t="str">
        <f>VLOOKUP($A33,'Pre-Assessment Estimator'!$A$10:$Z$228,I$2,FALSE)</f>
        <v>N/A</v>
      </c>
      <c r="J33" s="577" t="str">
        <f>IF(VLOOKUP($A33,'Pre-Assessment Estimator'!$A$10:$Z$228,J$2,FALSE)=0,"",VLOOKUP($A33,'Pre-Assessment Estimator'!$A$10:$Z$228,J$2,FALSE))</f>
        <v/>
      </c>
      <c r="K33" s="577" t="str">
        <f>IF(VLOOKUP($A33,'Pre-Assessment Estimator'!$A$10:$Z$228,K$2,FALSE)=0,"",VLOOKUP($A33,'Pre-Assessment Estimator'!$A$10:$Z$228,K$2,FALSE))</f>
        <v/>
      </c>
      <c r="L33" s="578" t="str">
        <f>IF(VLOOKUP($A33,'Pre-Assessment Estimator'!$A$10:$Z$228,L$2,FALSE)=0,"",VLOOKUP($A33,'Pre-Assessment Estimator'!$A$10:$Z$228,L$2,FALSE))</f>
        <v/>
      </c>
      <c r="M33" s="579"/>
      <c r="N33" s="580" t="str">
        <f>IF(VLOOKUP($A33,'Pre-Assessment Estimator'!$A$10:$Z$228,N$2,FALSE)=0,"",VLOOKUP($A33,'Pre-Assessment Estimator'!$A$10:$Z$228,N$2,FALSE))</f>
        <v/>
      </c>
      <c r="O33" s="575">
        <f>VLOOKUP($A33,'Pre-Assessment Estimator'!$A$10:$Z$228,O$2,FALSE)</f>
        <v>0</v>
      </c>
      <c r="P33" s="574" t="str">
        <f>VLOOKUP($A33,'Pre-Assessment Estimator'!$A$10:$Z$228,P$2,FALSE)</f>
        <v>N/A</v>
      </c>
      <c r="Q33" s="577" t="str">
        <f>IF(VLOOKUP($A33,'Pre-Assessment Estimator'!$A$10:$Z$228,Q$2,FALSE)=0,"",VLOOKUP($A33,'Pre-Assessment Estimator'!$A$10:$Z$228,Q$2,FALSE))</f>
        <v/>
      </c>
      <c r="R33" s="577" t="str">
        <f>IF(VLOOKUP($A33,'Pre-Assessment Estimator'!$A$10:$Z$228,R$2,FALSE)=0,"",VLOOKUP($A33,'Pre-Assessment Estimator'!$A$10:$Z$228,R$2,FALSE))</f>
        <v/>
      </c>
      <c r="S33" s="578" t="str">
        <f>IF(VLOOKUP($A33,'Pre-Assessment Estimator'!$A$10:$Z$228,S$2,FALSE)=0,"",VLOOKUP($A33,'Pre-Assessment Estimator'!$A$10:$Z$228,S$2,FALSE))</f>
        <v/>
      </c>
      <c r="T33" s="581"/>
      <c r="U33" s="580" t="str">
        <f>IF(VLOOKUP($A33,'Pre-Assessment Estimator'!$A$10:$Z$228,U$2,FALSE)=0,"",VLOOKUP($A33,'Pre-Assessment Estimator'!$A$10:$Z$228,U$2,FALSE))</f>
        <v/>
      </c>
      <c r="V33" s="575">
        <f>VLOOKUP($A33,'Pre-Assessment Estimator'!$A$10:$Z$228,V$2,FALSE)</f>
        <v>0</v>
      </c>
      <c r="W33" s="574" t="str">
        <f>VLOOKUP($A33,'Pre-Assessment Estimator'!$A$10:$Z$228,W$2,FALSE)</f>
        <v>N/A</v>
      </c>
      <c r="X33" s="577" t="str">
        <f>IF(VLOOKUP($A33,'Pre-Assessment Estimator'!$A$10:$Z$228,X$2,FALSE)=0,"",VLOOKUP($A33,'Pre-Assessment Estimator'!$A$10:$Z$228,X$2,FALSE))</f>
        <v/>
      </c>
      <c r="Y33" s="577" t="str">
        <f>IF(VLOOKUP($A33,'Pre-Assessment Estimator'!$A$10:$Z$228,Y$2,FALSE)=0,"",VLOOKUP($A33,'Pre-Assessment Estimator'!$A$10:$Z$228,Y$2,FALSE))</f>
        <v/>
      </c>
      <c r="Z33" s="370" t="str">
        <f>IF(VLOOKUP($A33,'Pre-Assessment Estimator'!$A$10:$Z$228,Z$2,FALSE)=0,"",VLOOKUP($A33,'Pre-Assessment Estimator'!$A$10:$Z$228,Z$2,FALSE))</f>
        <v/>
      </c>
      <c r="AA33" s="696">
        <v>23</v>
      </c>
      <c r="AB33" s="577"/>
      <c r="AF33" s="386">
        <f t="shared" si="0"/>
        <v>1</v>
      </c>
      <c r="AG33" s="414"/>
      <c r="AL33" s="413"/>
    </row>
    <row r="34" spans="1:42" x14ac:dyDescent="0.25">
      <c r="A34" s="823">
        <v>25</v>
      </c>
      <c r="B34" s="1234" t="s">
        <v>61</v>
      </c>
      <c r="C34" s="1234"/>
      <c r="D34" s="1257" t="str">
        <f>VLOOKUP($A34,'Pre-Assessment Estimator'!$A$10:$Z$228,D$2,FALSE)</f>
        <v>Man 05</v>
      </c>
      <c r="E34" s="1258" t="str">
        <f>VLOOKUP($A34,'Pre-Assessment Estimator'!$A$10:$Z$228,E$2,FALSE)</f>
        <v>Sesonal commisioning</v>
      </c>
      <c r="F34" s="574">
        <f>VLOOKUP($A34,'Pre-Assessment Estimator'!$A$10:$Z$228,F$2,FALSE)</f>
        <v>1</v>
      </c>
      <c r="G34" s="580" t="str">
        <f>IF(VLOOKUP($A34,'Pre-Assessment Estimator'!$A$10:$Z$228,G$2,FALSE)=0,"",VLOOKUP($A34,'Pre-Assessment Estimator'!$A$10:$Z$228,G$2,FALSE))</f>
        <v/>
      </c>
      <c r="H34" s="575">
        <f>VLOOKUP($A34,'Pre-Assessment Estimator'!$A$10:$Z$228,H$2,FALSE)</f>
        <v>0</v>
      </c>
      <c r="I34" s="574" t="str">
        <f>VLOOKUP($A34,'Pre-Assessment Estimator'!$A$10:$Z$228,I$2,FALSE)</f>
        <v>Very Good</v>
      </c>
      <c r="J34" s="577" t="str">
        <f>IF(VLOOKUP($A34,'Pre-Assessment Estimator'!$A$10:$Z$228,J$2,FALSE)=0,"",VLOOKUP($A34,'Pre-Assessment Estimator'!$A$10:$Z$228,J$2,FALSE))</f>
        <v/>
      </c>
      <c r="K34" s="577" t="str">
        <f>IF(VLOOKUP($A34,'Pre-Assessment Estimator'!$A$10:$Z$228,K$2,FALSE)=0,"",VLOOKUP($A34,'Pre-Assessment Estimator'!$A$10:$Z$228,K$2,FALSE))</f>
        <v/>
      </c>
      <c r="L34" s="578" t="str">
        <f>IF(VLOOKUP($A34,'Pre-Assessment Estimator'!$A$10:$Z$228,L$2,FALSE)=0,"",VLOOKUP($A34,'Pre-Assessment Estimator'!$A$10:$Z$228,L$2,FALSE))</f>
        <v/>
      </c>
      <c r="M34" s="579"/>
      <c r="N34" s="580" t="str">
        <f>IF(VLOOKUP($A34,'Pre-Assessment Estimator'!$A$10:$Z$228,N$2,FALSE)=0,"",VLOOKUP($A34,'Pre-Assessment Estimator'!$A$10:$Z$228,N$2,FALSE))</f>
        <v/>
      </c>
      <c r="O34" s="575">
        <f>VLOOKUP($A34,'Pre-Assessment Estimator'!$A$10:$Z$228,O$2,FALSE)</f>
        <v>0</v>
      </c>
      <c r="P34" s="574" t="str">
        <f>VLOOKUP($A34,'Pre-Assessment Estimator'!$A$10:$Z$228,P$2,FALSE)</f>
        <v>Very Good</v>
      </c>
      <c r="Q34" s="577" t="str">
        <f>IF(VLOOKUP($A34,'Pre-Assessment Estimator'!$A$10:$Z$228,Q$2,FALSE)=0,"",VLOOKUP($A34,'Pre-Assessment Estimator'!$A$10:$Z$228,Q$2,FALSE))</f>
        <v/>
      </c>
      <c r="R34" s="577" t="str">
        <f>IF(VLOOKUP($A34,'Pre-Assessment Estimator'!$A$10:$Z$228,R$2,FALSE)=0,"",VLOOKUP($A34,'Pre-Assessment Estimator'!$A$10:$Z$228,R$2,FALSE))</f>
        <v/>
      </c>
      <c r="S34" s="578" t="str">
        <f>IF(VLOOKUP($A34,'Pre-Assessment Estimator'!$A$10:$Z$228,S$2,FALSE)=0,"",VLOOKUP($A34,'Pre-Assessment Estimator'!$A$10:$Z$228,S$2,FALSE))</f>
        <v/>
      </c>
      <c r="T34" s="581"/>
      <c r="U34" s="580" t="str">
        <f>IF(VLOOKUP($A34,'Pre-Assessment Estimator'!$A$10:$Z$228,U$2,FALSE)=0,"",VLOOKUP($A34,'Pre-Assessment Estimator'!$A$10:$Z$228,U$2,FALSE))</f>
        <v/>
      </c>
      <c r="V34" s="575">
        <f>VLOOKUP($A34,'Pre-Assessment Estimator'!$A$10:$Z$228,V$2,FALSE)</f>
        <v>0</v>
      </c>
      <c r="W34" s="574" t="str">
        <f>VLOOKUP($A34,'Pre-Assessment Estimator'!$A$10:$Z$228,W$2,FALSE)</f>
        <v>Very Good</v>
      </c>
      <c r="X34" s="577" t="str">
        <f>IF(VLOOKUP($A34,'Pre-Assessment Estimator'!$A$10:$Z$228,X$2,FALSE)=0,"",VLOOKUP($A34,'Pre-Assessment Estimator'!$A$10:$Z$228,X$2,FALSE))</f>
        <v/>
      </c>
      <c r="Y34" s="577" t="str">
        <f>IF(VLOOKUP($A34,'Pre-Assessment Estimator'!$A$10:$Z$228,Y$2,FALSE)=0,"",VLOOKUP($A34,'Pre-Assessment Estimator'!$A$10:$Z$228,Y$2,FALSE))</f>
        <v/>
      </c>
      <c r="Z34" s="370" t="str">
        <f>IF(VLOOKUP($A34,'Pre-Assessment Estimator'!$A$10:$Z$228,Z$2,FALSE)=0,"",VLOOKUP($A34,'Pre-Assessment Estimator'!$A$10:$Z$228,Z$2,FALSE))</f>
        <v/>
      </c>
      <c r="AA34" s="696">
        <v>24</v>
      </c>
      <c r="AB34" s="577"/>
      <c r="AF34" s="386">
        <f t="shared" si="0"/>
        <v>1</v>
      </c>
      <c r="AG34" s="414"/>
      <c r="AL34" s="413"/>
    </row>
    <row r="35" spans="1:42" x14ac:dyDescent="0.25">
      <c r="A35" s="823">
        <v>26</v>
      </c>
      <c r="B35" s="1234" t="s">
        <v>61</v>
      </c>
      <c r="C35" s="1234"/>
      <c r="D35" s="1257" t="str">
        <f>VLOOKUP($A35,'Pre-Assessment Estimator'!$A$10:$Z$228,D$2,FALSE)</f>
        <v>Man 05</v>
      </c>
      <c r="E35" s="1258" t="str">
        <f>VLOOKUP($A35,'Pre-Assessment Estimator'!$A$10:$Z$228,E$2,FALSE)</f>
        <v>Post-occypancy evaluation</v>
      </c>
      <c r="F35" s="574">
        <f>VLOOKUP($A35,'Pre-Assessment Estimator'!$A$10:$Z$228,F$2,FALSE)</f>
        <v>1</v>
      </c>
      <c r="G35" s="580" t="str">
        <f>IF(VLOOKUP($A35,'Pre-Assessment Estimator'!$A$10:$Z$228,G$2,FALSE)=0,"",VLOOKUP($A35,'Pre-Assessment Estimator'!$A$10:$Z$228,G$2,FALSE))</f>
        <v/>
      </c>
      <c r="H35" s="575">
        <f>VLOOKUP($A35,'Pre-Assessment Estimator'!$A$10:$Z$228,H$2,FALSE)</f>
        <v>0</v>
      </c>
      <c r="I35" s="574" t="str">
        <f>VLOOKUP($A35,'Pre-Assessment Estimator'!$A$10:$Z$228,I$2,FALSE)</f>
        <v>N/A</v>
      </c>
      <c r="J35" s="577" t="str">
        <f>IF(VLOOKUP($A35,'Pre-Assessment Estimator'!$A$10:$Z$228,J$2,FALSE)=0,"",VLOOKUP($A35,'Pre-Assessment Estimator'!$A$10:$Z$228,J$2,FALSE))</f>
        <v/>
      </c>
      <c r="K35" s="577" t="str">
        <f>IF(VLOOKUP($A35,'Pre-Assessment Estimator'!$A$10:$Z$228,K$2,FALSE)=0,"",VLOOKUP($A35,'Pre-Assessment Estimator'!$A$10:$Z$228,K$2,FALSE))</f>
        <v/>
      </c>
      <c r="L35" s="578" t="str">
        <f>IF(VLOOKUP($A35,'Pre-Assessment Estimator'!$A$10:$Z$228,L$2,FALSE)=0,"",VLOOKUP($A35,'Pre-Assessment Estimator'!$A$10:$Z$228,L$2,FALSE))</f>
        <v/>
      </c>
      <c r="M35" s="579"/>
      <c r="N35" s="580" t="str">
        <f>IF(VLOOKUP($A35,'Pre-Assessment Estimator'!$A$10:$Z$228,N$2,FALSE)=0,"",VLOOKUP($A35,'Pre-Assessment Estimator'!$A$10:$Z$228,N$2,FALSE))</f>
        <v/>
      </c>
      <c r="O35" s="575">
        <f>VLOOKUP($A35,'Pre-Assessment Estimator'!$A$10:$Z$228,O$2,FALSE)</f>
        <v>0</v>
      </c>
      <c r="P35" s="574" t="str">
        <f>VLOOKUP($A35,'Pre-Assessment Estimator'!$A$10:$Z$228,P$2,FALSE)</f>
        <v>N/A</v>
      </c>
      <c r="Q35" s="577" t="str">
        <f>IF(VLOOKUP($A35,'Pre-Assessment Estimator'!$A$10:$Z$228,Q$2,FALSE)=0,"",VLOOKUP($A35,'Pre-Assessment Estimator'!$A$10:$Z$228,Q$2,FALSE))</f>
        <v/>
      </c>
      <c r="R35" s="577" t="str">
        <f>IF(VLOOKUP($A35,'Pre-Assessment Estimator'!$A$10:$Z$228,R$2,FALSE)=0,"",VLOOKUP($A35,'Pre-Assessment Estimator'!$A$10:$Z$228,R$2,FALSE))</f>
        <v/>
      </c>
      <c r="S35" s="578" t="str">
        <f>IF(VLOOKUP($A35,'Pre-Assessment Estimator'!$A$10:$Z$228,S$2,FALSE)=0,"",VLOOKUP($A35,'Pre-Assessment Estimator'!$A$10:$Z$228,S$2,FALSE))</f>
        <v/>
      </c>
      <c r="T35" s="581"/>
      <c r="U35" s="580" t="str">
        <f>IF(VLOOKUP($A35,'Pre-Assessment Estimator'!$A$10:$Z$228,U$2,FALSE)=0,"",VLOOKUP($A35,'Pre-Assessment Estimator'!$A$10:$Z$228,U$2,FALSE))</f>
        <v/>
      </c>
      <c r="V35" s="575">
        <f>VLOOKUP($A35,'Pre-Assessment Estimator'!$A$10:$Z$228,V$2,FALSE)</f>
        <v>0</v>
      </c>
      <c r="W35" s="574" t="str">
        <f>VLOOKUP($A35,'Pre-Assessment Estimator'!$A$10:$Z$228,W$2,FALSE)</f>
        <v>N/A</v>
      </c>
      <c r="X35" s="577" t="str">
        <f>IF(VLOOKUP($A35,'Pre-Assessment Estimator'!$A$10:$Z$228,X$2,FALSE)=0,"",VLOOKUP($A35,'Pre-Assessment Estimator'!$A$10:$Z$228,X$2,FALSE))</f>
        <v/>
      </c>
      <c r="Y35" s="577" t="str">
        <f>IF(VLOOKUP($A35,'Pre-Assessment Estimator'!$A$10:$Z$228,Y$2,FALSE)=0,"",VLOOKUP($A35,'Pre-Assessment Estimator'!$A$10:$Z$228,Y$2,FALSE))</f>
        <v/>
      </c>
      <c r="Z35" s="370" t="str">
        <f>IF(VLOOKUP($A35,'Pre-Assessment Estimator'!$A$10:$Z$228,Z$2,FALSE)=0,"",VLOOKUP($A35,'Pre-Assessment Estimator'!$A$10:$Z$228,Z$2,FALSE))</f>
        <v/>
      </c>
      <c r="AA35" s="696">
        <v>25</v>
      </c>
      <c r="AB35" s="577"/>
      <c r="AF35" s="386">
        <f t="shared" si="0"/>
        <v>1</v>
      </c>
      <c r="AG35" s="414"/>
      <c r="AL35" s="413"/>
    </row>
    <row r="36" spans="1:42" ht="30" customHeight="1" thickBot="1" x14ac:dyDescent="0.3">
      <c r="A36" s="823">
        <v>27</v>
      </c>
      <c r="B36" s="1234" t="s">
        <v>61</v>
      </c>
      <c r="C36" s="1234"/>
      <c r="D36" s="1259"/>
      <c r="E36" s="1259" t="str">
        <f>VLOOKUP($A36,'Pre-Assessment Estimator'!$A$10:$Z$228,E$2,FALSE)</f>
        <v>Total performance management</v>
      </c>
      <c r="F36" s="582">
        <f>VLOOKUP($A36,'Pre-Assessment Estimator'!$A$10:$Z$228,F$2,FALSE)</f>
        <v>21</v>
      </c>
      <c r="G36" s="584" t="str">
        <f>IF(VLOOKUP($A36,'Pre-Assessment Estimator'!$A$10:$Z$228,G$2,FALSE)=0,"",VLOOKUP($A36,'Pre-Assessment Estimator'!$A$10:$Z$228,G$2,FALSE))</f>
        <v/>
      </c>
      <c r="H36" s="583">
        <f>VLOOKUP($A36,'Pre-Assessment Estimator'!$A$10:$Z$228,H$2,FALSE)</f>
        <v>0</v>
      </c>
      <c r="I36" s="582" t="str">
        <f>VLOOKUP($A36,'Pre-Assessment Estimator'!$A$10:$Z$228,I$2,FALSE)</f>
        <v>Credits achieved: 0</v>
      </c>
      <c r="J36" s="1202" t="str">
        <f>IF(VLOOKUP($A36,'Pre-Assessment Estimator'!$A$10:$Z$228,J$2,FALSE)=0,"",VLOOKUP($A36,'Pre-Assessment Estimator'!$A$10:$Z$228,J$2,FALSE))</f>
        <v/>
      </c>
      <c r="K36" s="1202" t="str">
        <f>IF(VLOOKUP($A36,'Pre-Assessment Estimator'!$A$10:$Z$228,K$2,FALSE)=0,"",VLOOKUP($A36,'Pre-Assessment Estimator'!$A$10:$Z$228,K$2,FALSE))</f>
        <v/>
      </c>
      <c r="L36" s="1221" t="str">
        <f>IF(VLOOKUP($A36,'Pre-Assessment Estimator'!$A$10:$Z$228,L$2,FALSE)=0,"",VLOOKUP($A36,'Pre-Assessment Estimator'!$A$10:$Z$228,L$2,FALSE))</f>
        <v/>
      </c>
      <c r="M36" s="1222"/>
      <c r="N36" s="584" t="str">
        <f>IF(VLOOKUP($A36,'Pre-Assessment Estimator'!$A$10:$Z$228,N$2,FALSE)=0,"",VLOOKUP($A36,'Pre-Assessment Estimator'!$A$10:$Z$228,N$2,FALSE))</f>
        <v/>
      </c>
      <c r="O36" s="583">
        <f>VLOOKUP($A36,'Pre-Assessment Estimator'!$A$10:$Z$228,O$2,FALSE)</f>
        <v>0</v>
      </c>
      <c r="P36" s="582" t="str">
        <f>VLOOKUP($A36,'Pre-Assessment Estimator'!$A$10:$Z$228,P$2,FALSE)</f>
        <v>Credits achieved: 0</v>
      </c>
      <c r="Q36" s="1202" t="str">
        <f>IF(VLOOKUP($A36,'Pre-Assessment Estimator'!$A$10:$Z$228,Q$2,FALSE)=0,"",VLOOKUP($A36,'Pre-Assessment Estimator'!$A$10:$Z$228,Q$2,FALSE))</f>
        <v/>
      </c>
      <c r="R36" s="1202" t="str">
        <f>IF(VLOOKUP($A36,'Pre-Assessment Estimator'!$A$10:$Z$228,R$2,FALSE)=0,"",VLOOKUP($A36,'Pre-Assessment Estimator'!$A$10:$Z$228,R$2,FALSE))</f>
        <v/>
      </c>
      <c r="S36" s="1221" t="str">
        <f>IF(VLOOKUP($A36,'Pre-Assessment Estimator'!$A$10:$Z$228,S$2,FALSE)=0,"",VLOOKUP($A36,'Pre-Assessment Estimator'!$A$10:$Z$228,S$2,FALSE))</f>
        <v/>
      </c>
      <c r="T36" s="1223"/>
      <c r="U36" s="584" t="str">
        <f>IF(VLOOKUP($A36,'Pre-Assessment Estimator'!$A$10:$Z$228,U$2,FALSE)=0,"",VLOOKUP($A36,'Pre-Assessment Estimator'!$A$10:$Z$228,U$2,FALSE))</f>
        <v/>
      </c>
      <c r="V36" s="583">
        <f>VLOOKUP($A36,'Pre-Assessment Estimator'!$A$10:$Z$228,V$2,FALSE)</f>
        <v>0</v>
      </c>
      <c r="W36" s="582" t="str">
        <f>VLOOKUP($A36,'Pre-Assessment Estimator'!$A$10:$Z$228,W$2,FALSE)</f>
        <v>Credits achieved: 0</v>
      </c>
      <c r="X36" s="1202" t="str">
        <f>IF(VLOOKUP($A36,'Pre-Assessment Estimator'!$A$10:$Z$228,X$2,FALSE)=0,"",VLOOKUP($A36,'Pre-Assessment Estimator'!$A$10:$Z$228,X$2,FALSE))</f>
        <v/>
      </c>
      <c r="Y36" s="1202" t="str">
        <f>IF(VLOOKUP($A36,'Pre-Assessment Estimator'!$A$10:$Z$228,Y$2,FALSE)=0,"",VLOOKUP($A36,'Pre-Assessment Estimator'!$A$10:$Z$228,Y$2,FALSE))</f>
        <v/>
      </c>
      <c r="Z36" s="1224" t="str">
        <f>IF(VLOOKUP($A36,'Pre-Assessment Estimator'!$A$10:$Z$228,Z$2,FALSE)=0,"",VLOOKUP($A36,'Pre-Assessment Estimator'!$A$10:$Z$228,Z$2,FALSE))</f>
        <v/>
      </c>
      <c r="AA36" s="696">
        <v>26</v>
      </c>
      <c r="AB36" s="577" t="str">
        <f>IF(VLOOKUP($A36,'Pre-Assessment Estimator'!$A$10:$AB$228,AB$2,FALSE)=0,"",VLOOKUP($A36,'Pre-Assessment Estimator'!$A$10:$AB$228,AB$2,FALSE))</f>
        <v/>
      </c>
      <c r="AF36" s="386">
        <f t="shared" si="0"/>
        <v>1</v>
      </c>
      <c r="AG36" s="414"/>
      <c r="AL36" s="413"/>
    </row>
    <row r="37" spans="1:42" x14ac:dyDescent="0.25">
      <c r="A37" s="823">
        <v>28</v>
      </c>
      <c r="B37" s="1234" t="s">
        <v>61</v>
      </c>
      <c r="C37" s="1234"/>
      <c r="D37" s="585"/>
      <c r="E37" s="585"/>
      <c r="F37" s="586"/>
      <c r="G37" s="586"/>
      <c r="H37" s="586"/>
      <c r="I37" s="586"/>
      <c r="J37" s="585"/>
      <c r="K37" s="586"/>
      <c r="L37" s="585"/>
      <c r="M37" s="579"/>
      <c r="N37" s="586"/>
      <c r="O37" s="586"/>
      <c r="P37" s="586"/>
      <c r="Q37" s="585"/>
      <c r="R37" s="586"/>
      <c r="S37" s="585"/>
      <c r="T37" s="581"/>
      <c r="U37" s="586"/>
      <c r="V37" s="586"/>
      <c r="W37" s="586"/>
      <c r="X37" s="585"/>
      <c r="Y37" s="586"/>
      <c r="Z37" s="343"/>
      <c r="AA37" s="696">
        <v>27</v>
      </c>
      <c r="AB37" s="585"/>
      <c r="AC37" s="389"/>
      <c r="AD37" s="389"/>
      <c r="AE37" s="389"/>
      <c r="AF37" s="386">
        <f t="shared" si="0"/>
        <v>1</v>
      </c>
      <c r="AL37" s="413"/>
      <c r="AN37" s="386"/>
      <c r="AP37" s="386"/>
    </row>
    <row r="38" spans="1:42" ht="18.75" x14ac:dyDescent="0.25">
      <c r="A38" s="823">
        <v>29</v>
      </c>
      <c r="B38" s="1234" t="s">
        <v>64</v>
      </c>
      <c r="C38" s="1234"/>
      <c r="D38" s="587"/>
      <c r="E38" s="587" t="s">
        <v>64</v>
      </c>
      <c r="F38" s="570"/>
      <c r="G38" s="570"/>
      <c r="H38" s="570"/>
      <c r="I38" s="570"/>
      <c r="J38" s="571" t="str">
        <f>IF(VLOOKUP($A38,'Pre-Assessment Estimator'!$A$10:$Z$228,J$2,FALSE)=0,"",VLOOKUP($A38,'Pre-Assessment Estimator'!$A$10:$Z$228,J$2,FALSE))</f>
        <v/>
      </c>
      <c r="K38" s="570" t="str">
        <f>IF(VLOOKUP($A38,'Pre-Assessment Estimator'!$A$10:$Z$228,K$2,FALSE)=0,"",VLOOKUP($A38,'Pre-Assessment Estimator'!$A$10:$Z$228,K$2,FALSE))</f>
        <v/>
      </c>
      <c r="L38" s="571" t="str">
        <f>IF(VLOOKUP($A38,'Pre-Assessment Estimator'!$A$10:$Z$228,L$2,FALSE)=0,"",VLOOKUP($A38,'Pre-Assessment Estimator'!$A$10:$Z$228,L$2,FALSE))</f>
        <v/>
      </c>
      <c r="M38" s="579"/>
      <c r="N38" s="570" t="str">
        <f>IF(VLOOKUP($A38,'Pre-Assessment Estimator'!$A$10:$Z$228,N$2,FALSE)=0,"",VLOOKUP($A38,'Pre-Assessment Estimator'!$A$10:$Z$228,N$2,FALSE))</f>
        <v/>
      </c>
      <c r="O38" s="570"/>
      <c r="P38" s="570"/>
      <c r="Q38" s="571" t="str">
        <f>IF(VLOOKUP($A38,'Pre-Assessment Estimator'!$A$10:$Z$228,Q$2,FALSE)=0,"",VLOOKUP($A38,'Pre-Assessment Estimator'!$A$10:$Z$228,Q$2,FALSE))</f>
        <v/>
      </c>
      <c r="R38" s="570" t="str">
        <f>IF(VLOOKUP($A38,'Pre-Assessment Estimator'!$A$10:$Z$228,R$2,FALSE)=0,"",VLOOKUP($A38,'Pre-Assessment Estimator'!$A$10:$Z$228,R$2,FALSE))</f>
        <v/>
      </c>
      <c r="S38" s="571" t="str">
        <f>IF(VLOOKUP($A38,'Pre-Assessment Estimator'!$A$10:$Z$228,S$2,FALSE)=0,"",VLOOKUP($A38,'Pre-Assessment Estimator'!$A$10:$Z$228,S$2,FALSE))</f>
        <v/>
      </c>
      <c r="T38" s="581"/>
      <c r="U38" s="570" t="str">
        <f>IF(VLOOKUP($A38,'Pre-Assessment Estimator'!$A$10:$Z$228,U$2,FALSE)=0,"",VLOOKUP($A38,'Pre-Assessment Estimator'!$A$10:$Z$228,U$2,FALSE))</f>
        <v/>
      </c>
      <c r="V38" s="570"/>
      <c r="W38" s="570"/>
      <c r="X38" s="571" t="str">
        <f>IF(VLOOKUP($A38,'Pre-Assessment Estimator'!$A$10:$Z$228,X$2,FALSE)=0,"",VLOOKUP($A38,'Pre-Assessment Estimator'!$A$10:$Z$228,X$2,FALSE))</f>
        <v/>
      </c>
      <c r="Y38" s="570" t="str">
        <f>IF(VLOOKUP($A38,'Pre-Assessment Estimator'!$A$10:$Z$228,Y$2,FALSE)=0,"",VLOOKUP($A38,'Pre-Assessment Estimator'!$A$10:$Z$228,Y$2,FALSE))</f>
        <v/>
      </c>
      <c r="Z38" s="411" t="str">
        <f>IF(VLOOKUP($A38,'Pre-Assessment Estimator'!$A$10:$Z$228,Z$2,FALSE)=0,"",VLOOKUP($A38,'Pre-Assessment Estimator'!$A$10:$Z$228,Z$2,FALSE))</f>
        <v/>
      </c>
      <c r="AA38" s="696">
        <v>28</v>
      </c>
      <c r="AB38" s="697"/>
      <c r="AF38" s="386">
        <f t="shared" si="0"/>
        <v>1</v>
      </c>
      <c r="AL38" s="413"/>
      <c r="AN38" s="386"/>
      <c r="AP38" s="386"/>
    </row>
    <row r="39" spans="1:42" x14ac:dyDescent="0.25">
      <c r="A39" s="823">
        <v>30</v>
      </c>
      <c r="B39" s="1234" t="s">
        <v>64</v>
      </c>
      <c r="C39" s="1234"/>
      <c r="D39" s="1256" t="str">
        <f>VLOOKUP($A39,'Pre-Assessment Estimator'!$A$10:$Z$228,D$2,FALSE)</f>
        <v>Hea 01</v>
      </c>
      <c r="E39" s="1256" t="str">
        <f>VLOOKUP($A39,'Pre-Assessment Estimator'!$A$10:$Z$228,E$2,FALSE)</f>
        <v>Hea 01 Visual comfort</v>
      </c>
      <c r="F39" s="574">
        <f>VLOOKUP($A39,'Pre-Assessment Estimator'!$A$10:$Z$228,F$2,FALSE)</f>
        <v>7</v>
      </c>
      <c r="G39" s="580" t="str">
        <f>IF(VLOOKUP($A39,'Pre-Assessment Estimator'!$A$10:$Z$228,G$2,FALSE)=0,"",VLOOKUP($A39,'Pre-Assessment Estimator'!$A$10:$Z$228,G$2,FALSE))</f>
        <v/>
      </c>
      <c r="H39" s="1220" t="str">
        <f>VLOOKUP($A39,'Pre-Assessment Estimator'!$A$10:$Z$228,H$2,FALSE)</f>
        <v>0 c. 0 %</v>
      </c>
      <c r="I39" s="576" t="str">
        <f>VLOOKUP($A39,'Pre-Assessment Estimator'!$A$10:$Z$228,I$2,FALSE)</f>
        <v>N/A</v>
      </c>
      <c r="J39" s="577" t="str">
        <f>IF(VLOOKUP($A39,'Pre-Assessment Estimator'!$A$10:$Z$228,J$2,FALSE)=0,"",VLOOKUP($A39,'Pre-Assessment Estimator'!$A$10:$Z$228,J$2,FALSE))</f>
        <v/>
      </c>
      <c r="K39" s="577" t="str">
        <f>IF(VLOOKUP($A39,'Pre-Assessment Estimator'!$A$10:$Z$228,K$2,FALSE)=0,"",VLOOKUP($A39,'Pre-Assessment Estimator'!$A$10:$Z$228,K$2,FALSE))</f>
        <v/>
      </c>
      <c r="L39" s="578" t="str">
        <f>IF(VLOOKUP($A39,'Pre-Assessment Estimator'!$A$10:$Z$228,L$2,FALSE)=0,"",VLOOKUP($A39,'Pre-Assessment Estimator'!$A$10:$Z$228,L$2,FALSE))</f>
        <v/>
      </c>
      <c r="M39" s="579"/>
      <c r="N39" s="580" t="str">
        <f>IF(VLOOKUP($A39,'Pre-Assessment Estimator'!$A$10:$Z$228,N$2,FALSE)=0,"",VLOOKUP($A39,'Pre-Assessment Estimator'!$A$10:$Z$228,N$2,FALSE))</f>
        <v/>
      </c>
      <c r="O39" s="575" t="str">
        <f>VLOOKUP($A39,'Pre-Assessment Estimator'!$A$10:$Z$228,O$2,FALSE)</f>
        <v>0 c. 0 %</v>
      </c>
      <c r="P39" s="574" t="str">
        <f>VLOOKUP($A39,'Pre-Assessment Estimator'!$A$10:$Z$228,P$2,FALSE)</f>
        <v>N/A</v>
      </c>
      <c r="Q39" s="577" t="str">
        <f>IF(VLOOKUP($A39,'Pre-Assessment Estimator'!$A$10:$Z$228,Q$2,FALSE)=0,"",VLOOKUP($A39,'Pre-Assessment Estimator'!$A$10:$Z$228,Q$2,FALSE))</f>
        <v/>
      </c>
      <c r="R39" s="577" t="str">
        <f>IF(VLOOKUP($A39,'Pre-Assessment Estimator'!$A$10:$Z$228,R$2,FALSE)=0,"",VLOOKUP($A39,'Pre-Assessment Estimator'!$A$10:$Z$228,R$2,FALSE))</f>
        <v/>
      </c>
      <c r="S39" s="578" t="str">
        <f>IF(VLOOKUP($A39,'Pre-Assessment Estimator'!$A$10:$Z$228,S$2,FALSE)=0,"",VLOOKUP($A39,'Pre-Assessment Estimator'!$A$10:$Z$228,S$2,FALSE))</f>
        <v/>
      </c>
      <c r="T39" s="581"/>
      <c r="U39" s="580" t="str">
        <f>IF(VLOOKUP($A39,'Pre-Assessment Estimator'!$A$10:$Z$228,U$2,FALSE)=0,"",VLOOKUP($A39,'Pre-Assessment Estimator'!$A$10:$Z$228,U$2,FALSE))</f>
        <v/>
      </c>
      <c r="V39" s="575" t="str">
        <f>VLOOKUP($A39,'Pre-Assessment Estimator'!$A$10:$Z$228,V$2,FALSE)</f>
        <v>0 c. 0 %</v>
      </c>
      <c r="W39" s="574" t="str">
        <f>VLOOKUP($A39,'Pre-Assessment Estimator'!$A$10:$Z$228,W$2,FALSE)</f>
        <v>N/A</v>
      </c>
      <c r="X39" s="577" t="str">
        <f>IF(VLOOKUP($A39,'Pre-Assessment Estimator'!$A$10:$Z$228,X$2,FALSE)=0,"",VLOOKUP($A39,'Pre-Assessment Estimator'!$A$10:$Z$228,X$2,FALSE))</f>
        <v/>
      </c>
      <c r="Y39" s="577" t="str">
        <f>IF(VLOOKUP($A39,'Pre-Assessment Estimator'!$A$10:$Z$228,Y$2,FALSE)=0,"",VLOOKUP($A39,'Pre-Assessment Estimator'!$A$10:$Z$228,Y$2,FALSE))</f>
        <v/>
      </c>
      <c r="Z39" s="370" t="str">
        <f>IF(VLOOKUP($A39,'Pre-Assessment Estimator'!$A$10:$Z$228,Z$2,FALSE)=0,"",VLOOKUP($A39,'Pre-Assessment Estimator'!$A$10:$Z$228,Z$2,FALSE))</f>
        <v/>
      </c>
      <c r="AA39" s="696">
        <v>29</v>
      </c>
      <c r="AB39" s="577" t="str">
        <f>IF(VLOOKUP($A39,'Pre-Assessment Estimator'!$A$10:$AB$228,AB$2,FALSE)=0,"",VLOOKUP($A39,'Pre-Assessment Estimator'!$A$10:$AB$228,AB$2,FALSE))</f>
        <v/>
      </c>
      <c r="AF39" s="386">
        <f t="shared" si="0"/>
        <v>1</v>
      </c>
      <c r="AN39" s="386"/>
      <c r="AP39" s="386"/>
    </row>
    <row r="40" spans="1:42" x14ac:dyDescent="0.25">
      <c r="A40" s="823">
        <v>31</v>
      </c>
      <c r="B40" s="1234" t="s">
        <v>64</v>
      </c>
      <c r="C40" s="1234"/>
      <c r="D40" s="1257" t="str">
        <f>VLOOKUP($A40,'Pre-Assessment Estimator'!$A$10:$Z$228,D$2,FALSE)</f>
        <v>Hea 01</v>
      </c>
      <c r="E40" s="1258" t="str">
        <f>VLOOKUP($A40,'Pre-Assessment Estimator'!$A$10:$Z$228,E$2,FALSE)</f>
        <v>Pre-requisite: limitation of light flicker and stroboscopic effect</v>
      </c>
      <c r="F40" s="574" t="str">
        <f>VLOOKUP($A40,'Pre-Assessment Estimator'!$A$10:$Z$228,F$2,FALSE)</f>
        <v>Yes/No</v>
      </c>
      <c r="G40" s="580" t="str">
        <f>IF(VLOOKUP($A40,'Pre-Assessment Estimator'!$A$10:$Z$228,G$2,FALSE)=0,"",VLOOKUP($A40,'Pre-Assessment Estimator'!$A$10:$Z$228,G$2,FALSE))</f>
        <v/>
      </c>
      <c r="H40" s="1220" t="str">
        <f>VLOOKUP($A40,'Pre-Assessment Estimator'!$A$10:$Z$228,H$2,FALSE)</f>
        <v>-</v>
      </c>
      <c r="I40" s="576" t="str">
        <f>VLOOKUP($A40,'Pre-Assessment Estimator'!$A$10:$Z$228,I$2,FALSE)</f>
        <v>Unclassified</v>
      </c>
      <c r="J40" s="577" t="str">
        <f>IF(VLOOKUP($A40,'Pre-Assessment Estimator'!$A$10:$Z$228,J$2,FALSE)=0,"",VLOOKUP($A40,'Pre-Assessment Estimator'!$A$10:$Z$228,J$2,FALSE))</f>
        <v/>
      </c>
      <c r="K40" s="577" t="str">
        <f>IF(VLOOKUP($A40,'Pre-Assessment Estimator'!$A$10:$Z$228,K$2,FALSE)=0,"",VLOOKUP($A40,'Pre-Assessment Estimator'!$A$10:$Z$228,K$2,FALSE))</f>
        <v/>
      </c>
      <c r="L40" s="578" t="str">
        <f>IF(VLOOKUP($A40,'Pre-Assessment Estimator'!$A$10:$Z$228,L$2,FALSE)=0,"",VLOOKUP($A40,'Pre-Assessment Estimator'!$A$10:$Z$228,L$2,FALSE))</f>
        <v/>
      </c>
      <c r="M40" s="579"/>
      <c r="N40" s="580" t="str">
        <f>IF(VLOOKUP($A40,'Pre-Assessment Estimator'!$A$10:$Z$228,N$2,FALSE)=0,"",VLOOKUP($A40,'Pre-Assessment Estimator'!$A$10:$Z$228,N$2,FALSE))</f>
        <v/>
      </c>
      <c r="O40" s="575" t="str">
        <f>VLOOKUP($A40,'Pre-Assessment Estimator'!$A$10:$Z$228,O$2,FALSE)</f>
        <v>-</v>
      </c>
      <c r="P40" s="574" t="str">
        <f>VLOOKUP($A40,'Pre-Assessment Estimator'!$A$10:$Z$228,P$2,FALSE)</f>
        <v>Unclassified</v>
      </c>
      <c r="Q40" s="577" t="str">
        <f>IF(VLOOKUP($A40,'Pre-Assessment Estimator'!$A$10:$Z$228,Q$2,FALSE)=0,"",VLOOKUP($A40,'Pre-Assessment Estimator'!$A$10:$Z$228,Q$2,FALSE))</f>
        <v/>
      </c>
      <c r="R40" s="577" t="str">
        <f>IF(VLOOKUP($A40,'Pre-Assessment Estimator'!$A$10:$Z$228,R$2,FALSE)=0,"",VLOOKUP($A40,'Pre-Assessment Estimator'!$A$10:$Z$228,R$2,FALSE))</f>
        <v/>
      </c>
      <c r="S40" s="578" t="str">
        <f>IF(VLOOKUP($A40,'Pre-Assessment Estimator'!$A$10:$Z$228,S$2,FALSE)=0,"",VLOOKUP($A40,'Pre-Assessment Estimator'!$A$10:$Z$228,S$2,FALSE))</f>
        <v/>
      </c>
      <c r="T40" s="581"/>
      <c r="U40" s="580" t="str">
        <f>IF(VLOOKUP($A40,'Pre-Assessment Estimator'!$A$10:$Z$228,U$2,FALSE)=0,"",VLOOKUP($A40,'Pre-Assessment Estimator'!$A$10:$Z$228,U$2,FALSE))</f>
        <v/>
      </c>
      <c r="V40" s="575" t="str">
        <f>VLOOKUP($A40,'Pre-Assessment Estimator'!$A$10:$Z$228,V$2,FALSE)</f>
        <v>-</v>
      </c>
      <c r="W40" s="574" t="str">
        <f>VLOOKUP($A40,'Pre-Assessment Estimator'!$A$10:$Z$228,W$2,FALSE)</f>
        <v>Unclassified</v>
      </c>
      <c r="X40" s="577" t="str">
        <f>IF(VLOOKUP($A40,'Pre-Assessment Estimator'!$A$10:$Z$228,X$2,FALSE)=0,"",VLOOKUP($A40,'Pre-Assessment Estimator'!$A$10:$Z$228,X$2,FALSE))</f>
        <v/>
      </c>
      <c r="Y40" s="577" t="str">
        <f>IF(VLOOKUP($A40,'Pre-Assessment Estimator'!$A$10:$Z$228,Y$2,FALSE)=0,"",VLOOKUP($A40,'Pre-Assessment Estimator'!$A$10:$Z$228,Y$2,FALSE))</f>
        <v/>
      </c>
      <c r="Z40" s="370" t="str">
        <f>IF(VLOOKUP($A40,'Pre-Assessment Estimator'!$A$10:$Z$228,Z$2,FALSE)=0,"",VLOOKUP($A40,'Pre-Assessment Estimator'!$A$10:$Z$228,Z$2,FALSE))</f>
        <v/>
      </c>
      <c r="AA40" s="696">
        <v>30</v>
      </c>
      <c r="AB40" s="577" t="str">
        <f>IF(VLOOKUP($A40,'Pre-Assessment Estimator'!$A$10:$AB$228,AB$2,FALSE)=0,"",VLOOKUP($A40,'Pre-Assessment Estimator'!$A$10:$AB$228,AB$2,FALSE))</f>
        <v/>
      </c>
      <c r="AF40" s="386">
        <f t="shared" si="0"/>
        <v>1</v>
      </c>
      <c r="AN40" s="386"/>
      <c r="AP40" s="386"/>
    </row>
    <row r="41" spans="1:42" x14ac:dyDescent="0.25">
      <c r="A41" s="823">
        <v>32</v>
      </c>
      <c r="B41" s="1234" t="s">
        <v>64</v>
      </c>
      <c r="C41" s="1234"/>
      <c r="D41" s="1257" t="str">
        <f>VLOOKUP($A41,'Pre-Assessment Estimator'!$A$10:$Z$228,D$2,FALSE)</f>
        <v>Hea 01</v>
      </c>
      <c r="E41" s="1258" t="str">
        <f>VLOOKUP($A41,'Pre-Assessment Estimator'!$A$10:$Z$228,E$2,FALSE)</f>
        <v>Pre-requisite: daylight assessments</v>
      </c>
      <c r="F41" s="574" t="str">
        <f>VLOOKUP($A41,'Pre-Assessment Estimator'!$A$10:$Z$228,F$2,FALSE)</f>
        <v>Yes/No</v>
      </c>
      <c r="G41" s="580" t="str">
        <f>IF(VLOOKUP($A41,'Pre-Assessment Estimator'!$A$10:$Z$228,G$2,FALSE)=0,"",VLOOKUP($A41,'Pre-Assessment Estimator'!$A$10:$Z$228,G$2,FALSE))</f>
        <v/>
      </c>
      <c r="H41" s="1220" t="str">
        <f>VLOOKUP($A41,'Pre-Assessment Estimator'!$A$10:$Z$228,H$2,FALSE)</f>
        <v>-</v>
      </c>
      <c r="I41" s="576" t="str">
        <f>VLOOKUP($A41,'Pre-Assessment Estimator'!$A$10:$Z$228,I$2,FALSE)</f>
        <v>Unclassified</v>
      </c>
      <c r="J41" s="577" t="str">
        <f>IF(VLOOKUP($A41,'Pre-Assessment Estimator'!$A$10:$Z$228,J$2,FALSE)=0,"",VLOOKUP($A41,'Pre-Assessment Estimator'!$A$10:$Z$228,J$2,FALSE))</f>
        <v/>
      </c>
      <c r="K41" s="577" t="str">
        <f>IF(VLOOKUP($A41,'Pre-Assessment Estimator'!$A$10:$Z$228,K$2,FALSE)=0,"",VLOOKUP($A41,'Pre-Assessment Estimator'!$A$10:$Z$228,K$2,FALSE))</f>
        <v/>
      </c>
      <c r="L41" s="578" t="str">
        <f>IF(VLOOKUP($A41,'Pre-Assessment Estimator'!$A$10:$Z$228,L$2,FALSE)=0,"",VLOOKUP($A41,'Pre-Assessment Estimator'!$A$10:$Z$228,L$2,FALSE))</f>
        <v/>
      </c>
      <c r="M41" s="579"/>
      <c r="N41" s="580" t="str">
        <f>IF(VLOOKUP($A41,'Pre-Assessment Estimator'!$A$10:$Z$228,N$2,FALSE)=0,"",VLOOKUP($A41,'Pre-Assessment Estimator'!$A$10:$Z$228,N$2,FALSE))</f>
        <v/>
      </c>
      <c r="O41" s="575" t="str">
        <f>VLOOKUP($A41,'Pre-Assessment Estimator'!$A$10:$Z$228,O$2,FALSE)</f>
        <v>-</v>
      </c>
      <c r="P41" s="574" t="str">
        <f>VLOOKUP($A41,'Pre-Assessment Estimator'!$A$10:$Z$228,P$2,FALSE)</f>
        <v>Unclassified</v>
      </c>
      <c r="Q41" s="577" t="str">
        <f>IF(VLOOKUP($A41,'Pre-Assessment Estimator'!$A$10:$Z$228,Q$2,FALSE)=0,"",VLOOKUP($A41,'Pre-Assessment Estimator'!$A$10:$Z$228,Q$2,FALSE))</f>
        <v/>
      </c>
      <c r="R41" s="577" t="str">
        <f>IF(VLOOKUP($A41,'Pre-Assessment Estimator'!$A$10:$Z$228,R$2,FALSE)=0,"",VLOOKUP($A41,'Pre-Assessment Estimator'!$A$10:$Z$228,R$2,FALSE))</f>
        <v/>
      </c>
      <c r="S41" s="578" t="str">
        <f>IF(VLOOKUP($A41,'Pre-Assessment Estimator'!$A$10:$Z$228,S$2,FALSE)=0,"",VLOOKUP($A41,'Pre-Assessment Estimator'!$A$10:$Z$228,S$2,FALSE))</f>
        <v/>
      </c>
      <c r="T41" s="581"/>
      <c r="U41" s="580" t="str">
        <f>IF(VLOOKUP($A41,'Pre-Assessment Estimator'!$A$10:$Z$228,U$2,FALSE)=0,"",VLOOKUP($A41,'Pre-Assessment Estimator'!$A$10:$Z$228,U$2,FALSE))</f>
        <v/>
      </c>
      <c r="V41" s="575" t="str">
        <f>VLOOKUP($A41,'Pre-Assessment Estimator'!$A$10:$Z$228,V$2,FALSE)</f>
        <v>-</v>
      </c>
      <c r="W41" s="574" t="str">
        <f>VLOOKUP($A41,'Pre-Assessment Estimator'!$A$10:$Z$228,W$2,FALSE)</f>
        <v>Unclassified</v>
      </c>
      <c r="X41" s="577" t="str">
        <f>IF(VLOOKUP($A41,'Pre-Assessment Estimator'!$A$10:$Z$228,X$2,FALSE)=0,"",VLOOKUP($A41,'Pre-Assessment Estimator'!$A$10:$Z$228,X$2,FALSE))</f>
        <v/>
      </c>
      <c r="Y41" s="577" t="str">
        <f>IF(VLOOKUP($A41,'Pre-Assessment Estimator'!$A$10:$Z$228,Y$2,FALSE)=0,"",VLOOKUP($A41,'Pre-Assessment Estimator'!$A$10:$Z$228,Y$2,FALSE))</f>
        <v/>
      </c>
      <c r="Z41" s="370" t="str">
        <f>IF(VLOOKUP($A41,'Pre-Assessment Estimator'!$A$10:$Z$228,Z$2,FALSE)=0,"",VLOOKUP($A41,'Pre-Assessment Estimator'!$A$10:$Z$228,Z$2,FALSE))</f>
        <v/>
      </c>
      <c r="AA41" s="696">
        <v>30</v>
      </c>
      <c r="AB41" s="577" t="str">
        <f>IF(VLOOKUP($A41,'Pre-Assessment Estimator'!$A$10:$AB$228,AB$2,FALSE)=0,"",VLOOKUP($A41,'Pre-Assessment Estimator'!$A$10:$AB$228,AB$2,FALSE))</f>
        <v/>
      </c>
      <c r="AF41" s="386">
        <f t="shared" ref="AF41" si="1">IF(F41="",1,IF(F41=0,2,1))</f>
        <v>1</v>
      </c>
      <c r="AN41" s="386"/>
      <c r="AP41" s="386"/>
    </row>
    <row r="42" spans="1:42" x14ac:dyDescent="0.25">
      <c r="A42" s="823">
        <v>33</v>
      </c>
      <c r="B42" s="1234" t="s">
        <v>64</v>
      </c>
      <c r="C42" s="1234"/>
      <c r="D42" s="1257" t="str">
        <f>VLOOKUP($A42,'Pre-Assessment Estimator'!$A$10:$Z$228,D$2,FALSE)</f>
        <v>Hea 01</v>
      </c>
      <c r="E42" s="1258" t="str">
        <f>VLOOKUP($A42,'Pre-Assessment Estimator'!$A$10:$Z$228,E$2,FALSE)</f>
        <v>Daylighting</v>
      </c>
      <c r="F42" s="574">
        <f>VLOOKUP($A42,'Pre-Assessment Estimator'!$A$10:$Z$228,F$2,FALSE)</f>
        <v>3</v>
      </c>
      <c r="G42" s="580" t="str">
        <f>IF(VLOOKUP($A42,'Pre-Assessment Estimator'!$A$10:$Z$228,G$2,FALSE)=0,"",VLOOKUP($A42,'Pre-Assessment Estimator'!$A$10:$Z$228,G$2,FALSE))</f>
        <v/>
      </c>
      <c r="H42" s="1220">
        <f>VLOOKUP($A42,'Pre-Assessment Estimator'!$A$10:$Z$228,H$2,FALSE)</f>
        <v>0</v>
      </c>
      <c r="I42" s="576" t="str">
        <f>VLOOKUP($A42,'Pre-Assessment Estimator'!$A$10:$Z$228,I$2,FALSE)</f>
        <v>N/A</v>
      </c>
      <c r="J42" s="577" t="str">
        <f>IF(VLOOKUP($A42,'Pre-Assessment Estimator'!$A$10:$Z$228,J$2,FALSE)=0,"",VLOOKUP($A42,'Pre-Assessment Estimator'!$A$10:$Z$228,J$2,FALSE))</f>
        <v/>
      </c>
      <c r="K42" s="577" t="str">
        <f>IF(VLOOKUP($A42,'Pre-Assessment Estimator'!$A$10:$Z$228,K$2,FALSE)=0,"",VLOOKUP($A42,'Pre-Assessment Estimator'!$A$10:$Z$228,K$2,FALSE))</f>
        <v/>
      </c>
      <c r="L42" s="578" t="str">
        <f>IF(VLOOKUP($A42,'Pre-Assessment Estimator'!$A$10:$Z$228,L$2,FALSE)=0,"",VLOOKUP($A42,'Pre-Assessment Estimator'!$A$10:$Z$228,L$2,FALSE))</f>
        <v/>
      </c>
      <c r="M42" s="579"/>
      <c r="N42" s="580" t="str">
        <f>IF(VLOOKUP($A42,'Pre-Assessment Estimator'!$A$10:$Z$228,N$2,FALSE)=0,"",VLOOKUP($A42,'Pre-Assessment Estimator'!$A$10:$Z$228,N$2,FALSE))</f>
        <v/>
      </c>
      <c r="O42" s="575">
        <f>VLOOKUP($A42,'Pre-Assessment Estimator'!$A$10:$Z$228,O$2,FALSE)</f>
        <v>0</v>
      </c>
      <c r="P42" s="574" t="str">
        <f>VLOOKUP($A42,'Pre-Assessment Estimator'!$A$10:$Z$228,P$2,FALSE)</f>
        <v>N/A</v>
      </c>
      <c r="Q42" s="577" t="str">
        <f>IF(VLOOKUP($A42,'Pre-Assessment Estimator'!$A$10:$Z$228,Q$2,FALSE)=0,"",VLOOKUP($A42,'Pre-Assessment Estimator'!$A$10:$Z$228,Q$2,FALSE))</f>
        <v/>
      </c>
      <c r="R42" s="577" t="str">
        <f>IF(VLOOKUP($A42,'Pre-Assessment Estimator'!$A$10:$Z$228,R$2,FALSE)=0,"",VLOOKUP($A42,'Pre-Assessment Estimator'!$A$10:$Z$228,R$2,FALSE))</f>
        <v/>
      </c>
      <c r="S42" s="578" t="str">
        <f>IF(VLOOKUP($A42,'Pre-Assessment Estimator'!$A$10:$Z$228,S$2,FALSE)=0,"",VLOOKUP($A42,'Pre-Assessment Estimator'!$A$10:$Z$228,S$2,FALSE))</f>
        <v/>
      </c>
      <c r="T42" s="581"/>
      <c r="U42" s="580" t="str">
        <f>IF(VLOOKUP($A42,'Pre-Assessment Estimator'!$A$10:$Z$228,U$2,FALSE)=0,"",VLOOKUP($A42,'Pre-Assessment Estimator'!$A$10:$Z$228,U$2,FALSE))</f>
        <v/>
      </c>
      <c r="V42" s="575">
        <f>VLOOKUP($A42,'Pre-Assessment Estimator'!$A$10:$Z$228,V$2,FALSE)</f>
        <v>0</v>
      </c>
      <c r="W42" s="574" t="str">
        <f>VLOOKUP($A42,'Pre-Assessment Estimator'!$A$10:$Z$228,W$2,FALSE)</f>
        <v>N/A</v>
      </c>
      <c r="X42" s="577" t="str">
        <f>IF(VLOOKUP($A42,'Pre-Assessment Estimator'!$A$10:$Z$228,X$2,FALSE)=0,"",VLOOKUP($A42,'Pre-Assessment Estimator'!$A$10:$Z$228,X$2,FALSE))</f>
        <v/>
      </c>
      <c r="Y42" s="577" t="str">
        <f>IF(VLOOKUP($A42,'Pre-Assessment Estimator'!$A$10:$Z$228,Y$2,FALSE)=0,"",VLOOKUP($A42,'Pre-Assessment Estimator'!$A$10:$Z$228,Y$2,FALSE))</f>
        <v/>
      </c>
      <c r="Z42" s="370" t="str">
        <f>IF(VLOOKUP($A42,'Pre-Assessment Estimator'!$A$10:$Z$228,Z$2,FALSE)=0,"",VLOOKUP($A42,'Pre-Assessment Estimator'!$A$10:$Z$228,Z$2,FALSE))</f>
        <v/>
      </c>
      <c r="AA42" s="696">
        <v>31</v>
      </c>
      <c r="AB42" s="577" t="str">
        <f>IF(VLOOKUP($A42,'Pre-Assessment Estimator'!$A$10:$AB$228,AB$2,FALSE)=0,"",VLOOKUP($A42,'Pre-Assessment Estimator'!$A$10:$AB$228,AB$2,FALSE))</f>
        <v/>
      </c>
      <c r="AF42" s="386">
        <f t="shared" si="0"/>
        <v>1</v>
      </c>
      <c r="AN42" s="386"/>
      <c r="AO42" s="386"/>
      <c r="AP42" s="386"/>
    </row>
    <row r="43" spans="1:42" x14ac:dyDescent="0.25">
      <c r="A43" s="823">
        <v>34</v>
      </c>
      <c r="B43" s="1234" t="s">
        <v>64</v>
      </c>
      <c r="C43" s="1234"/>
      <c r="D43" s="1257" t="str">
        <f>VLOOKUP($A43,'Pre-Assessment Estimator'!$A$10:$Z$228,D$2,FALSE)</f>
        <v>Hea 01</v>
      </c>
      <c r="E43" s="1258" t="str">
        <f>VLOOKUP($A43,'Pre-Assessment Estimator'!$A$10:$Z$228,E$2,FALSE)</f>
        <v xml:space="preserve">Control of glare from sunlight </v>
      </c>
      <c r="F43" s="574">
        <f>VLOOKUP($A43,'Pre-Assessment Estimator'!$A$10:$Z$228,F$2,FALSE)</f>
        <v>1</v>
      </c>
      <c r="G43" s="580" t="str">
        <f>IF(VLOOKUP($A43,'Pre-Assessment Estimator'!$A$10:$Z$228,G$2,FALSE)=0,"",VLOOKUP($A43,'Pre-Assessment Estimator'!$A$10:$Z$228,G$2,FALSE))</f>
        <v/>
      </c>
      <c r="H43" s="1220">
        <f>VLOOKUP($A43,'Pre-Assessment Estimator'!$A$10:$Z$228,H$2,FALSE)</f>
        <v>0</v>
      </c>
      <c r="I43" s="576" t="str">
        <f>VLOOKUP($A43,'Pre-Assessment Estimator'!$A$10:$Z$228,I$2,FALSE)</f>
        <v>N/A</v>
      </c>
      <c r="J43" s="577" t="str">
        <f>IF(VLOOKUP($A43,'Pre-Assessment Estimator'!$A$10:$Z$228,J$2,FALSE)=0,"",VLOOKUP($A43,'Pre-Assessment Estimator'!$A$10:$Z$228,J$2,FALSE))</f>
        <v/>
      </c>
      <c r="K43" s="577" t="str">
        <f>IF(VLOOKUP($A43,'Pre-Assessment Estimator'!$A$10:$Z$228,K$2,FALSE)=0,"",VLOOKUP($A43,'Pre-Assessment Estimator'!$A$10:$Z$228,K$2,FALSE))</f>
        <v/>
      </c>
      <c r="L43" s="578" t="str">
        <f>IF(VLOOKUP($A43,'Pre-Assessment Estimator'!$A$10:$Z$228,L$2,FALSE)=0,"",VLOOKUP($A43,'Pre-Assessment Estimator'!$A$10:$Z$228,L$2,FALSE))</f>
        <v/>
      </c>
      <c r="M43" s="579"/>
      <c r="N43" s="580" t="str">
        <f>IF(VLOOKUP($A43,'Pre-Assessment Estimator'!$A$10:$Z$228,N$2,FALSE)=0,"",VLOOKUP($A43,'Pre-Assessment Estimator'!$A$10:$Z$228,N$2,FALSE))</f>
        <v/>
      </c>
      <c r="O43" s="575">
        <f>VLOOKUP($A43,'Pre-Assessment Estimator'!$A$10:$Z$228,O$2,FALSE)</f>
        <v>0</v>
      </c>
      <c r="P43" s="574" t="str">
        <f>VLOOKUP($A43,'Pre-Assessment Estimator'!$A$10:$Z$228,P$2,FALSE)</f>
        <v>N/A</v>
      </c>
      <c r="Q43" s="577" t="str">
        <f>IF(VLOOKUP($A43,'Pre-Assessment Estimator'!$A$10:$Z$228,Q$2,FALSE)=0,"",VLOOKUP($A43,'Pre-Assessment Estimator'!$A$10:$Z$228,Q$2,FALSE))</f>
        <v/>
      </c>
      <c r="R43" s="577" t="str">
        <f>IF(VLOOKUP($A43,'Pre-Assessment Estimator'!$A$10:$Z$228,R$2,FALSE)=0,"",VLOOKUP($A43,'Pre-Assessment Estimator'!$A$10:$Z$228,R$2,FALSE))</f>
        <v/>
      </c>
      <c r="S43" s="578" t="str">
        <f>IF(VLOOKUP($A43,'Pre-Assessment Estimator'!$A$10:$Z$228,S$2,FALSE)=0,"",VLOOKUP($A43,'Pre-Assessment Estimator'!$A$10:$Z$228,S$2,FALSE))</f>
        <v/>
      </c>
      <c r="T43" s="581"/>
      <c r="U43" s="580" t="str">
        <f>IF(VLOOKUP($A43,'Pre-Assessment Estimator'!$A$10:$Z$228,U$2,FALSE)=0,"",VLOOKUP($A43,'Pre-Assessment Estimator'!$A$10:$Z$228,U$2,FALSE))</f>
        <v/>
      </c>
      <c r="V43" s="575">
        <f>VLOOKUP($A43,'Pre-Assessment Estimator'!$A$10:$Z$228,V$2,FALSE)</f>
        <v>0</v>
      </c>
      <c r="W43" s="574" t="str">
        <f>VLOOKUP($A43,'Pre-Assessment Estimator'!$A$10:$Z$228,W$2,FALSE)</f>
        <v>N/A</v>
      </c>
      <c r="X43" s="577" t="str">
        <f>IF(VLOOKUP($A43,'Pre-Assessment Estimator'!$A$10:$Z$228,X$2,FALSE)=0,"",VLOOKUP($A43,'Pre-Assessment Estimator'!$A$10:$Z$228,X$2,FALSE))</f>
        <v/>
      </c>
      <c r="Y43" s="577" t="str">
        <f>IF(VLOOKUP($A43,'Pre-Assessment Estimator'!$A$10:$Z$228,Y$2,FALSE)=0,"",VLOOKUP($A43,'Pre-Assessment Estimator'!$A$10:$Z$228,Y$2,FALSE))</f>
        <v/>
      </c>
      <c r="Z43" s="370" t="str">
        <f>IF(VLOOKUP($A43,'Pre-Assessment Estimator'!$A$10:$Z$228,Z$2,FALSE)=0,"",VLOOKUP($A43,'Pre-Assessment Estimator'!$A$10:$Z$228,Z$2,FALSE))</f>
        <v/>
      </c>
      <c r="AA43" s="696">
        <v>32</v>
      </c>
      <c r="AB43" s="577" t="str">
        <f>IF(VLOOKUP($A43,'Pre-Assessment Estimator'!$A$10:$AB$228,AB$2,FALSE)=0,"",VLOOKUP($A43,'Pre-Assessment Estimator'!$A$10:$AB$228,AB$2,FALSE))</f>
        <v/>
      </c>
      <c r="AF43" s="386">
        <f t="shared" si="0"/>
        <v>1</v>
      </c>
      <c r="AN43" s="386"/>
      <c r="AO43" s="386"/>
      <c r="AP43" s="386"/>
    </row>
    <row r="44" spans="1:42" x14ac:dyDescent="0.25">
      <c r="A44" s="823">
        <v>35</v>
      </c>
      <c r="B44" s="1234" t="s">
        <v>64</v>
      </c>
      <c r="C44" s="1234"/>
      <c r="D44" s="1257" t="str">
        <f>VLOOKUP($A44,'Pre-Assessment Estimator'!$A$10:$Z$228,D$2,FALSE)</f>
        <v>Hea 01</v>
      </c>
      <c r="E44" s="1258" t="str">
        <f>VLOOKUP($A44,'Pre-Assessment Estimator'!$A$10:$Z$228,E$2,FALSE)</f>
        <v xml:space="preserve">View out </v>
      </c>
      <c r="F44" s="574">
        <f>VLOOKUP($A44,'Pre-Assessment Estimator'!$A$10:$Z$228,F$2,FALSE)</f>
        <v>1</v>
      </c>
      <c r="G44" s="580" t="str">
        <f>IF(VLOOKUP($A44,'Pre-Assessment Estimator'!$A$10:$Z$228,G$2,FALSE)=0,"",VLOOKUP($A44,'Pre-Assessment Estimator'!$A$10:$Z$228,G$2,FALSE))</f>
        <v/>
      </c>
      <c r="H44" s="1220">
        <f>VLOOKUP($A44,'Pre-Assessment Estimator'!$A$10:$Z$228,H$2,FALSE)</f>
        <v>0</v>
      </c>
      <c r="I44" s="576" t="str">
        <f>VLOOKUP($A44,'Pre-Assessment Estimator'!$A$10:$Z$228,I$2,FALSE)</f>
        <v>N/A</v>
      </c>
      <c r="J44" s="577" t="str">
        <f>IF(VLOOKUP($A44,'Pre-Assessment Estimator'!$A$10:$Z$228,J$2,FALSE)=0,"",VLOOKUP($A44,'Pre-Assessment Estimator'!$A$10:$Z$228,J$2,FALSE))</f>
        <v/>
      </c>
      <c r="K44" s="577" t="str">
        <f>IF(VLOOKUP($A44,'Pre-Assessment Estimator'!$A$10:$Z$228,K$2,FALSE)=0,"",VLOOKUP($A44,'Pre-Assessment Estimator'!$A$10:$Z$228,K$2,FALSE))</f>
        <v/>
      </c>
      <c r="L44" s="578" t="str">
        <f>IF(VLOOKUP($A44,'Pre-Assessment Estimator'!$A$10:$Z$228,L$2,FALSE)=0,"",VLOOKUP($A44,'Pre-Assessment Estimator'!$A$10:$Z$228,L$2,FALSE))</f>
        <v/>
      </c>
      <c r="M44" s="579"/>
      <c r="N44" s="580" t="str">
        <f>IF(VLOOKUP($A44,'Pre-Assessment Estimator'!$A$10:$Z$228,N$2,FALSE)=0,"",VLOOKUP($A44,'Pre-Assessment Estimator'!$A$10:$Z$228,N$2,FALSE))</f>
        <v/>
      </c>
      <c r="O44" s="575">
        <f>VLOOKUP($A44,'Pre-Assessment Estimator'!$A$10:$Z$228,O$2,FALSE)</f>
        <v>0</v>
      </c>
      <c r="P44" s="574" t="str">
        <f>VLOOKUP($A44,'Pre-Assessment Estimator'!$A$10:$Z$228,P$2,FALSE)</f>
        <v>N/A</v>
      </c>
      <c r="Q44" s="577" t="str">
        <f>IF(VLOOKUP($A44,'Pre-Assessment Estimator'!$A$10:$Z$228,Q$2,FALSE)=0,"",VLOOKUP($A44,'Pre-Assessment Estimator'!$A$10:$Z$228,Q$2,FALSE))</f>
        <v/>
      </c>
      <c r="R44" s="577" t="str">
        <f>IF(VLOOKUP($A44,'Pre-Assessment Estimator'!$A$10:$Z$228,R$2,FALSE)=0,"",VLOOKUP($A44,'Pre-Assessment Estimator'!$A$10:$Z$228,R$2,FALSE))</f>
        <v/>
      </c>
      <c r="S44" s="578" t="str">
        <f>IF(VLOOKUP($A44,'Pre-Assessment Estimator'!$A$10:$Z$228,S$2,FALSE)=0,"",VLOOKUP($A44,'Pre-Assessment Estimator'!$A$10:$Z$228,S$2,FALSE))</f>
        <v/>
      </c>
      <c r="T44" s="581"/>
      <c r="U44" s="580" t="str">
        <f>IF(VLOOKUP($A44,'Pre-Assessment Estimator'!$A$10:$Z$228,U$2,FALSE)=0,"",VLOOKUP($A44,'Pre-Assessment Estimator'!$A$10:$Z$228,U$2,FALSE))</f>
        <v/>
      </c>
      <c r="V44" s="575">
        <f>VLOOKUP($A44,'Pre-Assessment Estimator'!$A$10:$Z$228,V$2,FALSE)</f>
        <v>0</v>
      </c>
      <c r="W44" s="574" t="str">
        <f>VLOOKUP($A44,'Pre-Assessment Estimator'!$A$10:$Z$228,W$2,FALSE)</f>
        <v>N/A</v>
      </c>
      <c r="X44" s="577" t="str">
        <f>IF(VLOOKUP($A44,'Pre-Assessment Estimator'!$A$10:$Z$228,X$2,FALSE)=0,"",VLOOKUP($A44,'Pre-Assessment Estimator'!$A$10:$Z$228,X$2,FALSE))</f>
        <v/>
      </c>
      <c r="Y44" s="577" t="str">
        <f>IF(VLOOKUP($A44,'Pre-Assessment Estimator'!$A$10:$Z$228,Y$2,FALSE)=0,"",VLOOKUP($A44,'Pre-Assessment Estimator'!$A$10:$Z$228,Y$2,FALSE))</f>
        <v/>
      </c>
      <c r="Z44" s="370" t="str">
        <f>IF(VLOOKUP($A44,'Pre-Assessment Estimator'!$A$10:$Z$228,Z$2,FALSE)=0,"",VLOOKUP($A44,'Pre-Assessment Estimator'!$A$10:$Z$228,Z$2,FALSE))</f>
        <v/>
      </c>
      <c r="AA44" s="696">
        <v>33</v>
      </c>
      <c r="AB44" s="577" t="str">
        <f>IF(VLOOKUP($A44,'Pre-Assessment Estimator'!$A$10:$AB$228,AB$2,FALSE)=0,"",VLOOKUP($A44,'Pre-Assessment Estimator'!$A$10:$AB$228,AB$2,FALSE))</f>
        <v/>
      </c>
      <c r="AF44" s="386">
        <f t="shared" si="0"/>
        <v>1</v>
      </c>
      <c r="AN44" s="386"/>
      <c r="AO44" s="386"/>
      <c r="AP44" s="386"/>
    </row>
    <row r="45" spans="1:42" x14ac:dyDescent="0.25">
      <c r="A45" s="823">
        <v>36</v>
      </c>
      <c r="B45" s="1234" t="s">
        <v>64</v>
      </c>
      <c r="C45" s="1234"/>
      <c r="D45" s="1257" t="str">
        <f>VLOOKUP($A45,'Pre-Assessment Estimator'!$A$10:$Z$228,D$2,FALSE)</f>
        <v>Hea 01</v>
      </c>
      <c r="E45" s="1258" t="str">
        <f>VLOOKUP($A45,'Pre-Assessment Estimator'!$A$10:$Z$228,E$2,FALSE)</f>
        <v xml:space="preserve">Sunlight </v>
      </c>
      <c r="F45" s="574">
        <f>VLOOKUP($A45,'Pre-Assessment Estimator'!$A$10:$Z$228,F$2,FALSE)</f>
        <v>1</v>
      </c>
      <c r="G45" s="580" t="str">
        <f>IF(VLOOKUP($A45,'Pre-Assessment Estimator'!$A$10:$Z$228,G$2,FALSE)=0,"",VLOOKUP($A45,'Pre-Assessment Estimator'!$A$10:$Z$228,G$2,FALSE))</f>
        <v/>
      </c>
      <c r="H45" s="1220">
        <f>VLOOKUP($A45,'Pre-Assessment Estimator'!$A$10:$Z$228,H$2,FALSE)</f>
        <v>0</v>
      </c>
      <c r="I45" s="576" t="str">
        <f>VLOOKUP($A45,'Pre-Assessment Estimator'!$A$10:$Z$228,I$2,FALSE)</f>
        <v>N/A</v>
      </c>
      <c r="J45" s="577" t="str">
        <f>IF(VLOOKUP($A45,'Pre-Assessment Estimator'!$A$10:$Z$228,J$2,FALSE)=0,"",VLOOKUP($A45,'Pre-Assessment Estimator'!$A$10:$Z$228,J$2,FALSE))</f>
        <v/>
      </c>
      <c r="K45" s="577" t="str">
        <f>IF(VLOOKUP($A45,'Pre-Assessment Estimator'!$A$10:$Z$228,K$2,FALSE)=0,"",VLOOKUP($A45,'Pre-Assessment Estimator'!$A$10:$Z$228,K$2,FALSE))</f>
        <v/>
      </c>
      <c r="L45" s="578" t="str">
        <f>IF(VLOOKUP($A45,'Pre-Assessment Estimator'!$A$10:$Z$228,L$2,FALSE)=0,"",VLOOKUP($A45,'Pre-Assessment Estimator'!$A$10:$Z$228,L$2,FALSE))</f>
        <v/>
      </c>
      <c r="M45" s="579"/>
      <c r="N45" s="580" t="str">
        <f>IF(VLOOKUP($A45,'Pre-Assessment Estimator'!$A$10:$Z$228,N$2,FALSE)=0,"",VLOOKUP($A45,'Pre-Assessment Estimator'!$A$10:$Z$228,N$2,FALSE))</f>
        <v/>
      </c>
      <c r="O45" s="575">
        <f>VLOOKUP($A45,'Pre-Assessment Estimator'!$A$10:$Z$228,O$2,FALSE)</f>
        <v>0</v>
      </c>
      <c r="P45" s="574" t="str">
        <f>VLOOKUP($A45,'Pre-Assessment Estimator'!$A$10:$Z$228,P$2,FALSE)</f>
        <v>N/A</v>
      </c>
      <c r="Q45" s="577" t="str">
        <f>IF(VLOOKUP($A45,'Pre-Assessment Estimator'!$A$10:$Z$228,Q$2,FALSE)=0,"",VLOOKUP($A45,'Pre-Assessment Estimator'!$A$10:$Z$228,Q$2,FALSE))</f>
        <v/>
      </c>
      <c r="R45" s="577" t="str">
        <f>IF(VLOOKUP($A45,'Pre-Assessment Estimator'!$A$10:$Z$228,R$2,FALSE)=0,"",VLOOKUP($A45,'Pre-Assessment Estimator'!$A$10:$Z$228,R$2,FALSE))</f>
        <v/>
      </c>
      <c r="S45" s="578" t="str">
        <f>IF(VLOOKUP($A45,'Pre-Assessment Estimator'!$A$10:$Z$228,S$2,FALSE)=0,"",VLOOKUP($A45,'Pre-Assessment Estimator'!$A$10:$Z$228,S$2,FALSE))</f>
        <v/>
      </c>
      <c r="T45" s="581"/>
      <c r="U45" s="580" t="str">
        <f>IF(VLOOKUP($A45,'Pre-Assessment Estimator'!$A$10:$Z$228,U$2,FALSE)=0,"",VLOOKUP($A45,'Pre-Assessment Estimator'!$A$10:$Z$228,U$2,FALSE))</f>
        <v/>
      </c>
      <c r="V45" s="575">
        <f>VLOOKUP($A45,'Pre-Assessment Estimator'!$A$10:$Z$228,V$2,FALSE)</f>
        <v>0</v>
      </c>
      <c r="W45" s="574" t="str">
        <f>VLOOKUP($A45,'Pre-Assessment Estimator'!$A$10:$Z$228,W$2,FALSE)</f>
        <v>N/A</v>
      </c>
      <c r="X45" s="577" t="str">
        <f>IF(VLOOKUP($A45,'Pre-Assessment Estimator'!$A$10:$Z$228,X$2,FALSE)=0,"",VLOOKUP($A45,'Pre-Assessment Estimator'!$A$10:$Z$228,X$2,FALSE))</f>
        <v/>
      </c>
      <c r="Y45" s="577" t="str">
        <f>IF(VLOOKUP($A45,'Pre-Assessment Estimator'!$A$10:$Z$228,Y$2,FALSE)=0,"",VLOOKUP($A45,'Pre-Assessment Estimator'!$A$10:$Z$228,Y$2,FALSE))</f>
        <v/>
      </c>
      <c r="Z45" s="370" t="str">
        <f>IF(VLOOKUP($A45,'Pre-Assessment Estimator'!$A$10:$Z$228,Z$2,FALSE)=0,"",VLOOKUP($A45,'Pre-Assessment Estimator'!$A$10:$Z$228,Z$2,FALSE))</f>
        <v/>
      </c>
      <c r="AA45" s="696">
        <v>34</v>
      </c>
      <c r="AB45" s="577"/>
      <c r="AF45" s="386">
        <f t="shared" si="0"/>
        <v>1</v>
      </c>
      <c r="AN45" s="386"/>
      <c r="AO45" s="386"/>
      <c r="AP45" s="386"/>
    </row>
    <row r="46" spans="1:42" x14ac:dyDescent="0.25">
      <c r="A46" s="823">
        <v>37</v>
      </c>
      <c r="B46" s="1234" t="s">
        <v>64</v>
      </c>
      <c r="C46" s="1234"/>
      <c r="D46" s="1257" t="str">
        <f>VLOOKUP($A46,'Pre-Assessment Estimator'!$A$10:$Z$228,D$2,FALSE)</f>
        <v>Hea 01</v>
      </c>
      <c r="E46" s="1258" t="str">
        <f>VLOOKUP($A46,'Pre-Assessment Estimator'!$A$10:$Z$228,E$2,FALSE)</f>
        <v xml:space="preserve">Internal and external lighting levels, zoning and control </v>
      </c>
      <c r="F46" s="574">
        <f>VLOOKUP($A46,'Pre-Assessment Estimator'!$A$10:$Z$228,F$2,FALSE)</f>
        <v>1</v>
      </c>
      <c r="G46" s="580" t="str">
        <f>IF(VLOOKUP($A46,'Pre-Assessment Estimator'!$A$10:$Z$228,G$2,FALSE)=0,"",VLOOKUP($A46,'Pre-Assessment Estimator'!$A$10:$Z$228,G$2,FALSE))</f>
        <v/>
      </c>
      <c r="H46" s="1220">
        <f>VLOOKUP($A46,'Pre-Assessment Estimator'!$A$10:$Z$228,H$2,FALSE)</f>
        <v>0</v>
      </c>
      <c r="I46" s="576" t="str">
        <f>VLOOKUP($A46,'Pre-Assessment Estimator'!$A$10:$Z$228,I$2,FALSE)</f>
        <v>N/A</v>
      </c>
      <c r="J46" s="577" t="str">
        <f>IF(VLOOKUP($A46,'Pre-Assessment Estimator'!$A$10:$Z$228,J$2,FALSE)=0,"",VLOOKUP($A46,'Pre-Assessment Estimator'!$A$10:$Z$228,J$2,FALSE))</f>
        <v/>
      </c>
      <c r="K46" s="577" t="str">
        <f>IF(VLOOKUP($A46,'Pre-Assessment Estimator'!$A$10:$Z$228,K$2,FALSE)=0,"",VLOOKUP($A46,'Pre-Assessment Estimator'!$A$10:$Z$228,K$2,FALSE))</f>
        <v/>
      </c>
      <c r="L46" s="578" t="str">
        <f>IF(VLOOKUP($A46,'Pre-Assessment Estimator'!$A$10:$Z$228,L$2,FALSE)=0,"",VLOOKUP($A46,'Pre-Assessment Estimator'!$A$10:$Z$228,L$2,FALSE))</f>
        <v/>
      </c>
      <c r="M46" s="579"/>
      <c r="N46" s="580" t="str">
        <f>IF(VLOOKUP($A46,'Pre-Assessment Estimator'!$A$10:$Z$228,N$2,FALSE)=0,"",VLOOKUP($A46,'Pre-Assessment Estimator'!$A$10:$Z$228,N$2,FALSE))</f>
        <v/>
      </c>
      <c r="O46" s="575">
        <f>VLOOKUP($A46,'Pre-Assessment Estimator'!$A$10:$Z$228,O$2,FALSE)</f>
        <v>0</v>
      </c>
      <c r="P46" s="574" t="str">
        <f>VLOOKUP($A46,'Pre-Assessment Estimator'!$A$10:$Z$228,P$2,FALSE)</f>
        <v>N/A</v>
      </c>
      <c r="Q46" s="577" t="str">
        <f>IF(VLOOKUP($A46,'Pre-Assessment Estimator'!$A$10:$Z$228,Q$2,FALSE)=0,"",VLOOKUP($A46,'Pre-Assessment Estimator'!$A$10:$Z$228,Q$2,FALSE))</f>
        <v/>
      </c>
      <c r="R46" s="577" t="str">
        <f>IF(VLOOKUP($A46,'Pre-Assessment Estimator'!$A$10:$Z$228,R$2,FALSE)=0,"",VLOOKUP($A46,'Pre-Assessment Estimator'!$A$10:$Z$228,R$2,FALSE))</f>
        <v/>
      </c>
      <c r="S46" s="578" t="str">
        <f>IF(VLOOKUP($A46,'Pre-Assessment Estimator'!$A$10:$Z$228,S$2,FALSE)=0,"",VLOOKUP($A46,'Pre-Assessment Estimator'!$A$10:$Z$228,S$2,FALSE))</f>
        <v/>
      </c>
      <c r="T46" s="581"/>
      <c r="U46" s="580" t="str">
        <f>IF(VLOOKUP($A46,'Pre-Assessment Estimator'!$A$10:$Z$228,U$2,FALSE)=0,"",VLOOKUP($A46,'Pre-Assessment Estimator'!$A$10:$Z$228,U$2,FALSE))</f>
        <v/>
      </c>
      <c r="V46" s="575">
        <f>VLOOKUP($A46,'Pre-Assessment Estimator'!$A$10:$Z$228,V$2,FALSE)</f>
        <v>0</v>
      </c>
      <c r="W46" s="574" t="str">
        <f>VLOOKUP($A46,'Pre-Assessment Estimator'!$A$10:$Z$228,W$2,FALSE)</f>
        <v>N/A</v>
      </c>
      <c r="X46" s="577" t="str">
        <f>IF(VLOOKUP($A46,'Pre-Assessment Estimator'!$A$10:$Z$228,X$2,FALSE)=0,"",VLOOKUP($A46,'Pre-Assessment Estimator'!$A$10:$Z$228,X$2,FALSE))</f>
        <v/>
      </c>
      <c r="Y46" s="577" t="str">
        <f>IF(VLOOKUP($A46,'Pre-Assessment Estimator'!$A$10:$Z$228,Y$2,FALSE)=0,"",VLOOKUP($A46,'Pre-Assessment Estimator'!$A$10:$Z$228,Y$2,FALSE))</f>
        <v/>
      </c>
      <c r="Z46" s="370" t="str">
        <f>IF(VLOOKUP($A46,'Pre-Assessment Estimator'!$A$10:$Z$228,Z$2,FALSE)=0,"",VLOOKUP($A46,'Pre-Assessment Estimator'!$A$10:$Z$228,Z$2,FALSE))</f>
        <v/>
      </c>
      <c r="AA46" s="696">
        <v>35</v>
      </c>
      <c r="AB46" s="577"/>
      <c r="AF46" s="386">
        <f t="shared" si="0"/>
        <v>1</v>
      </c>
      <c r="AN46" s="386"/>
      <c r="AO46" s="386"/>
      <c r="AP46" s="386"/>
    </row>
    <row r="47" spans="1:42" x14ac:dyDescent="0.25">
      <c r="A47" s="823">
        <v>38</v>
      </c>
      <c r="B47" s="1234" t="s">
        <v>64</v>
      </c>
      <c r="C47" s="1234"/>
      <c r="D47" s="1256" t="str">
        <f>VLOOKUP($A47,'Pre-Assessment Estimator'!$A$10:$Z$228,D$2,FALSE)</f>
        <v>Hea 02</v>
      </c>
      <c r="E47" s="1256" t="str">
        <f>VLOOKUP($A47,'Pre-Assessment Estimator'!$A$10:$Z$228,E$2,FALSE)</f>
        <v>Hea 02 Indoor air quality</v>
      </c>
      <c r="F47" s="574">
        <f>VLOOKUP($A47,'Pre-Assessment Estimator'!$A$10:$Z$228,F$2,FALSE)</f>
        <v>4</v>
      </c>
      <c r="G47" s="580" t="str">
        <f>IF(VLOOKUP($A47,'Pre-Assessment Estimator'!$A$10:$Z$228,G$2,FALSE)=0,"",VLOOKUP($A47,'Pre-Assessment Estimator'!$A$10:$Z$228,G$2,FALSE))</f>
        <v/>
      </c>
      <c r="H47" s="1220" t="str">
        <f>VLOOKUP($A47,'Pre-Assessment Estimator'!$A$10:$Z$228,H$2,FALSE)</f>
        <v>0 c. 0 %</v>
      </c>
      <c r="I47" s="576" t="str">
        <f>VLOOKUP($A47,'Pre-Assessment Estimator'!$A$10:$Z$228,I$2,FALSE)</f>
        <v>N/A</v>
      </c>
      <c r="J47" s="577" t="str">
        <f>IF(VLOOKUP($A47,'Pre-Assessment Estimator'!$A$10:$Z$228,J$2,FALSE)=0,"",VLOOKUP($A47,'Pre-Assessment Estimator'!$A$10:$Z$228,J$2,FALSE))</f>
        <v/>
      </c>
      <c r="K47" s="577" t="str">
        <f>IF(VLOOKUP($A47,'Pre-Assessment Estimator'!$A$10:$Z$228,K$2,FALSE)=0,"",VLOOKUP($A47,'Pre-Assessment Estimator'!$A$10:$Z$228,K$2,FALSE))</f>
        <v/>
      </c>
      <c r="L47" s="578" t="str">
        <f>IF(VLOOKUP($A47,'Pre-Assessment Estimator'!$A$10:$Z$228,L$2,FALSE)=0,"",VLOOKUP($A47,'Pre-Assessment Estimator'!$A$10:$Z$228,L$2,FALSE))</f>
        <v/>
      </c>
      <c r="M47" s="579"/>
      <c r="N47" s="580" t="str">
        <f>IF(VLOOKUP($A47,'Pre-Assessment Estimator'!$A$10:$Z$228,N$2,FALSE)=0,"",VLOOKUP($A47,'Pre-Assessment Estimator'!$A$10:$Z$228,N$2,FALSE))</f>
        <v/>
      </c>
      <c r="O47" s="575" t="str">
        <f>VLOOKUP($A47,'Pre-Assessment Estimator'!$A$10:$Z$228,O$2,FALSE)</f>
        <v>0 c. 0 %</v>
      </c>
      <c r="P47" s="574" t="str">
        <f>VLOOKUP($A47,'Pre-Assessment Estimator'!$A$10:$Z$228,P$2,FALSE)</f>
        <v>N/A</v>
      </c>
      <c r="Q47" s="577" t="str">
        <f>IF(VLOOKUP($A47,'Pre-Assessment Estimator'!$A$10:$Z$228,Q$2,FALSE)=0,"",VLOOKUP($A47,'Pre-Assessment Estimator'!$A$10:$Z$228,Q$2,FALSE))</f>
        <v/>
      </c>
      <c r="R47" s="577" t="str">
        <f>IF(VLOOKUP($A47,'Pre-Assessment Estimator'!$A$10:$Z$228,R$2,FALSE)=0,"",VLOOKUP($A47,'Pre-Assessment Estimator'!$A$10:$Z$228,R$2,FALSE))</f>
        <v/>
      </c>
      <c r="S47" s="578" t="str">
        <f>IF(VLOOKUP($A47,'Pre-Assessment Estimator'!$A$10:$Z$228,S$2,FALSE)=0,"",VLOOKUP($A47,'Pre-Assessment Estimator'!$A$10:$Z$228,S$2,FALSE))</f>
        <v/>
      </c>
      <c r="T47" s="581"/>
      <c r="U47" s="580" t="str">
        <f>IF(VLOOKUP($A47,'Pre-Assessment Estimator'!$A$10:$Z$228,U$2,FALSE)=0,"",VLOOKUP($A47,'Pre-Assessment Estimator'!$A$10:$Z$228,U$2,FALSE))</f>
        <v/>
      </c>
      <c r="V47" s="575" t="str">
        <f>VLOOKUP($A47,'Pre-Assessment Estimator'!$A$10:$Z$228,V$2,FALSE)</f>
        <v>0 c. 0 %</v>
      </c>
      <c r="W47" s="574" t="str">
        <f>VLOOKUP($A47,'Pre-Assessment Estimator'!$A$10:$Z$228,W$2,FALSE)</f>
        <v>N/A</v>
      </c>
      <c r="X47" s="577" t="str">
        <f>IF(VLOOKUP($A47,'Pre-Assessment Estimator'!$A$10:$Z$228,X$2,FALSE)=0,"",VLOOKUP($A47,'Pre-Assessment Estimator'!$A$10:$Z$228,X$2,FALSE))</f>
        <v/>
      </c>
      <c r="Y47" s="577" t="str">
        <f>IF(VLOOKUP($A47,'Pre-Assessment Estimator'!$A$10:$Z$228,Y$2,FALSE)=0,"",VLOOKUP($A47,'Pre-Assessment Estimator'!$A$10:$Z$228,Y$2,FALSE))</f>
        <v/>
      </c>
      <c r="Z47" s="370" t="str">
        <f>IF(VLOOKUP($A47,'Pre-Assessment Estimator'!$A$10:$Z$228,Z$2,FALSE)=0,"",VLOOKUP($A47,'Pre-Assessment Estimator'!$A$10:$Z$228,Z$2,FALSE))</f>
        <v/>
      </c>
      <c r="AA47" s="696">
        <v>36</v>
      </c>
      <c r="AB47" s="577"/>
      <c r="AF47" s="386">
        <f t="shared" si="0"/>
        <v>1</v>
      </c>
      <c r="AN47" s="386"/>
      <c r="AO47" s="386"/>
      <c r="AP47" s="386"/>
    </row>
    <row r="48" spans="1:42" ht="30" x14ac:dyDescent="0.25">
      <c r="A48" s="823">
        <v>39</v>
      </c>
      <c r="B48" s="1234" t="s">
        <v>64</v>
      </c>
      <c r="C48" s="1234"/>
      <c r="D48" s="1257" t="str">
        <f>VLOOKUP($A48,'Pre-Assessment Estimator'!$A$10:$Z$228,D$2,FALSE)</f>
        <v>Hea 02</v>
      </c>
      <c r="E48" s="1258" t="str">
        <f>VLOOKUP($A48,'Pre-Assessment Estimator'!$A$10:$Z$228,E$2,FALSE)</f>
        <v>Pre-requisite: A site-specific indoor air quality plan has been produced</v>
      </c>
      <c r="F48" s="574" t="str">
        <f>VLOOKUP($A48,'Pre-Assessment Estimator'!$A$10:$Z$228,F$2,FALSE)</f>
        <v>Yes/No</v>
      </c>
      <c r="G48" s="580" t="str">
        <f>IF(VLOOKUP($A48,'Pre-Assessment Estimator'!$A$10:$Z$228,G$2,FALSE)=0,"",VLOOKUP($A48,'Pre-Assessment Estimator'!$A$10:$Z$228,G$2,FALSE))</f>
        <v/>
      </c>
      <c r="H48" s="1220" t="str">
        <f>VLOOKUP($A48,'Pre-Assessment Estimator'!$A$10:$Z$228,H$2,FALSE)</f>
        <v>-</v>
      </c>
      <c r="I48" s="576" t="str">
        <f>VLOOKUP($A48,'Pre-Assessment Estimator'!$A$10:$Z$228,I$2,FALSE)</f>
        <v>Unclassified</v>
      </c>
      <c r="J48" s="577" t="str">
        <f>IF(VLOOKUP($A48,'Pre-Assessment Estimator'!$A$10:$Z$228,J$2,FALSE)=0,"",VLOOKUP($A48,'Pre-Assessment Estimator'!$A$10:$Z$228,J$2,FALSE))</f>
        <v/>
      </c>
      <c r="K48" s="577" t="str">
        <f>IF(VLOOKUP($A48,'Pre-Assessment Estimator'!$A$10:$Z$228,K$2,FALSE)=0,"",VLOOKUP($A48,'Pre-Assessment Estimator'!$A$10:$Z$228,K$2,FALSE))</f>
        <v/>
      </c>
      <c r="L48" s="578" t="str">
        <f>IF(VLOOKUP($A48,'Pre-Assessment Estimator'!$A$10:$Z$228,L$2,FALSE)=0,"",VLOOKUP($A48,'Pre-Assessment Estimator'!$A$10:$Z$228,L$2,FALSE))</f>
        <v/>
      </c>
      <c r="M48" s="579"/>
      <c r="N48" s="580" t="str">
        <f>IF(VLOOKUP($A48,'Pre-Assessment Estimator'!$A$10:$Z$228,N$2,FALSE)=0,"",VLOOKUP($A48,'Pre-Assessment Estimator'!$A$10:$Z$228,N$2,FALSE))</f>
        <v/>
      </c>
      <c r="O48" s="575" t="str">
        <f>VLOOKUP($A48,'Pre-Assessment Estimator'!$A$10:$Z$228,O$2,FALSE)</f>
        <v>-</v>
      </c>
      <c r="P48" s="574" t="str">
        <f>VLOOKUP($A48,'Pre-Assessment Estimator'!$A$10:$Z$228,P$2,FALSE)</f>
        <v>Unclassified</v>
      </c>
      <c r="Q48" s="577" t="str">
        <f>IF(VLOOKUP($A48,'Pre-Assessment Estimator'!$A$10:$Z$228,Q$2,FALSE)=0,"",VLOOKUP($A48,'Pre-Assessment Estimator'!$A$10:$Z$228,Q$2,FALSE))</f>
        <v/>
      </c>
      <c r="R48" s="577" t="str">
        <f>IF(VLOOKUP($A48,'Pre-Assessment Estimator'!$A$10:$Z$228,R$2,FALSE)=0,"",VLOOKUP($A48,'Pre-Assessment Estimator'!$A$10:$Z$228,R$2,FALSE))</f>
        <v/>
      </c>
      <c r="S48" s="578" t="str">
        <f>IF(VLOOKUP($A48,'Pre-Assessment Estimator'!$A$10:$Z$228,S$2,FALSE)=0,"",VLOOKUP($A48,'Pre-Assessment Estimator'!$A$10:$Z$228,S$2,FALSE))</f>
        <v/>
      </c>
      <c r="T48" s="581"/>
      <c r="U48" s="580" t="str">
        <f>IF(VLOOKUP($A48,'Pre-Assessment Estimator'!$A$10:$Z$228,U$2,FALSE)=0,"",VLOOKUP($A48,'Pre-Assessment Estimator'!$A$10:$Z$228,U$2,FALSE))</f>
        <v/>
      </c>
      <c r="V48" s="575" t="str">
        <f>VLOOKUP($A48,'Pre-Assessment Estimator'!$A$10:$Z$228,V$2,FALSE)</f>
        <v>-</v>
      </c>
      <c r="W48" s="574" t="str">
        <f>VLOOKUP($A48,'Pre-Assessment Estimator'!$A$10:$Z$228,W$2,FALSE)</f>
        <v>Unclassified</v>
      </c>
      <c r="X48" s="577" t="str">
        <f>IF(VLOOKUP($A48,'Pre-Assessment Estimator'!$A$10:$Z$228,X$2,FALSE)=0,"",VLOOKUP($A48,'Pre-Assessment Estimator'!$A$10:$Z$228,X$2,FALSE))</f>
        <v/>
      </c>
      <c r="Y48" s="577" t="str">
        <f>IF(VLOOKUP($A48,'Pre-Assessment Estimator'!$A$10:$Z$228,Y$2,FALSE)=0,"",VLOOKUP($A48,'Pre-Assessment Estimator'!$A$10:$Z$228,Y$2,FALSE))</f>
        <v/>
      </c>
      <c r="Z48" s="370" t="str">
        <f>IF(VLOOKUP($A48,'Pre-Assessment Estimator'!$A$10:$Z$228,Z$2,FALSE)=0,"",VLOOKUP($A48,'Pre-Assessment Estimator'!$A$10:$Z$228,Z$2,FALSE))</f>
        <v/>
      </c>
      <c r="AA48" s="696">
        <v>37</v>
      </c>
      <c r="AB48" s="577"/>
      <c r="AF48" s="386">
        <f t="shared" si="0"/>
        <v>1</v>
      </c>
      <c r="AN48" s="386"/>
      <c r="AO48" s="386"/>
      <c r="AP48" s="386"/>
    </row>
    <row r="49" spans="1:42" x14ac:dyDescent="0.25">
      <c r="A49" s="823">
        <v>40</v>
      </c>
      <c r="B49" s="1234" t="s">
        <v>64</v>
      </c>
      <c r="C49" s="1234"/>
      <c r="D49" s="1257" t="str">
        <f>VLOOKUP($A49,'Pre-Assessment Estimator'!$A$10:$Z$228,D$2,FALSE)</f>
        <v>Hea 02</v>
      </c>
      <c r="E49" s="1258" t="str">
        <f>VLOOKUP($A49,'Pre-Assessment Estimator'!$A$10:$Z$228,E$2,FALSE)</f>
        <v>Ventilation</v>
      </c>
      <c r="F49" s="574">
        <f>VLOOKUP($A49,'Pre-Assessment Estimator'!$A$10:$Z$228,F$2,FALSE)</f>
        <v>1</v>
      </c>
      <c r="G49" s="580" t="str">
        <f>IF(VLOOKUP($A49,'Pre-Assessment Estimator'!$A$10:$Z$228,G$2,FALSE)=0,"",VLOOKUP($A49,'Pre-Assessment Estimator'!$A$10:$Z$228,G$2,FALSE))</f>
        <v/>
      </c>
      <c r="H49" s="1220">
        <f>VLOOKUP($A49,'Pre-Assessment Estimator'!$A$10:$Z$228,H$2,FALSE)</f>
        <v>0</v>
      </c>
      <c r="I49" s="576" t="str">
        <f>VLOOKUP($A49,'Pre-Assessment Estimator'!$A$10:$Z$228,I$2,FALSE)</f>
        <v>N/A</v>
      </c>
      <c r="J49" s="577" t="str">
        <f>IF(VLOOKUP($A49,'Pre-Assessment Estimator'!$A$10:$Z$228,J$2,FALSE)=0,"",VLOOKUP($A49,'Pre-Assessment Estimator'!$A$10:$Z$228,J$2,FALSE))</f>
        <v/>
      </c>
      <c r="K49" s="577" t="str">
        <f>IF(VLOOKUP($A49,'Pre-Assessment Estimator'!$A$10:$Z$228,K$2,FALSE)=0,"",VLOOKUP($A49,'Pre-Assessment Estimator'!$A$10:$Z$228,K$2,FALSE))</f>
        <v/>
      </c>
      <c r="L49" s="578" t="str">
        <f>IF(VLOOKUP($A49,'Pre-Assessment Estimator'!$A$10:$Z$228,L$2,FALSE)=0,"",VLOOKUP($A49,'Pre-Assessment Estimator'!$A$10:$Z$228,L$2,FALSE))</f>
        <v/>
      </c>
      <c r="M49" s="579"/>
      <c r="N49" s="580" t="str">
        <f>IF(VLOOKUP($A49,'Pre-Assessment Estimator'!$A$10:$Z$228,N$2,FALSE)=0,"",VLOOKUP($A49,'Pre-Assessment Estimator'!$A$10:$Z$228,N$2,FALSE))</f>
        <v/>
      </c>
      <c r="O49" s="575">
        <f>VLOOKUP($A49,'Pre-Assessment Estimator'!$A$10:$Z$228,O$2,FALSE)</f>
        <v>0</v>
      </c>
      <c r="P49" s="574" t="str">
        <f>VLOOKUP($A49,'Pre-Assessment Estimator'!$A$10:$Z$228,P$2,FALSE)</f>
        <v>N/A</v>
      </c>
      <c r="Q49" s="577" t="str">
        <f>IF(VLOOKUP($A49,'Pre-Assessment Estimator'!$A$10:$Z$228,Q$2,FALSE)=0,"",VLOOKUP($A49,'Pre-Assessment Estimator'!$A$10:$Z$228,Q$2,FALSE))</f>
        <v/>
      </c>
      <c r="R49" s="577" t="str">
        <f>IF(VLOOKUP($A49,'Pre-Assessment Estimator'!$A$10:$Z$228,R$2,FALSE)=0,"",VLOOKUP($A49,'Pre-Assessment Estimator'!$A$10:$Z$228,R$2,FALSE))</f>
        <v/>
      </c>
      <c r="S49" s="578" t="str">
        <f>IF(VLOOKUP($A49,'Pre-Assessment Estimator'!$A$10:$Z$228,S$2,FALSE)=0,"",VLOOKUP($A49,'Pre-Assessment Estimator'!$A$10:$Z$228,S$2,FALSE))</f>
        <v/>
      </c>
      <c r="T49" s="581"/>
      <c r="U49" s="580" t="str">
        <f>IF(VLOOKUP($A49,'Pre-Assessment Estimator'!$A$10:$Z$228,U$2,FALSE)=0,"",VLOOKUP($A49,'Pre-Assessment Estimator'!$A$10:$Z$228,U$2,FALSE))</f>
        <v/>
      </c>
      <c r="V49" s="575">
        <f>VLOOKUP($A49,'Pre-Assessment Estimator'!$A$10:$Z$228,V$2,FALSE)</f>
        <v>0</v>
      </c>
      <c r="W49" s="574" t="str">
        <f>VLOOKUP($A49,'Pre-Assessment Estimator'!$A$10:$Z$228,W$2,FALSE)</f>
        <v>N/A</v>
      </c>
      <c r="X49" s="577" t="str">
        <f>IF(VLOOKUP($A49,'Pre-Assessment Estimator'!$A$10:$Z$228,X$2,FALSE)=0,"",VLOOKUP($A49,'Pre-Assessment Estimator'!$A$10:$Z$228,X$2,FALSE))</f>
        <v/>
      </c>
      <c r="Y49" s="577" t="str">
        <f>IF(VLOOKUP($A49,'Pre-Assessment Estimator'!$A$10:$Z$228,Y$2,FALSE)=0,"",VLOOKUP($A49,'Pre-Assessment Estimator'!$A$10:$Z$228,Y$2,FALSE))</f>
        <v/>
      </c>
      <c r="Z49" s="370" t="str">
        <f>IF(VLOOKUP($A49,'Pre-Assessment Estimator'!$A$10:$Z$228,Z$2,FALSE)=0,"",VLOOKUP($A49,'Pre-Assessment Estimator'!$A$10:$Z$228,Z$2,FALSE))</f>
        <v/>
      </c>
      <c r="AA49" s="696">
        <v>38</v>
      </c>
      <c r="AB49" s="577"/>
      <c r="AF49" s="386">
        <f t="shared" si="0"/>
        <v>1</v>
      </c>
      <c r="AN49" s="386"/>
      <c r="AO49" s="386"/>
      <c r="AP49" s="386"/>
    </row>
    <row r="50" spans="1:42" ht="30" x14ac:dyDescent="0.25">
      <c r="A50" s="823">
        <v>41</v>
      </c>
      <c r="B50" s="1234" t="s">
        <v>64</v>
      </c>
      <c r="C50" s="1234"/>
      <c r="D50" s="1257" t="str">
        <f>VLOOKUP($A50,'Pre-Assessment Estimator'!$A$10:$Z$228,D$2,FALSE)</f>
        <v>Hea 02</v>
      </c>
      <c r="E50" s="1258" t="str">
        <f>VLOOKUP($A50,'Pre-Assessment Estimator'!$A$10:$Z$228,E$2,FALSE)</f>
        <v>Emissions from construction products (EU taxonomy requirement: criterion 5)</v>
      </c>
      <c r="F50" s="574">
        <f>VLOOKUP($A50,'Pre-Assessment Estimator'!$A$10:$Z$228,F$2,FALSE)</f>
        <v>2</v>
      </c>
      <c r="G50" s="580" t="str">
        <f>IF(VLOOKUP($A50,'Pre-Assessment Estimator'!$A$10:$Z$228,G$2,FALSE)=0,"",VLOOKUP($A50,'Pre-Assessment Estimator'!$A$10:$Z$228,G$2,FALSE))</f>
        <v/>
      </c>
      <c r="H50" s="1220">
        <f>VLOOKUP($A50,'Pre-Assessment Estimator'!$A$10:$Z$228,H$2,FALSE)</f>
        <v>0</v>
      </c>
      <c r="I50" s="576" t="str">
        <f>VLOOKUP($A50,'Pre-Assessment Estimator'!$A$10:$Z$228,I$2,FALSE)</f>
        <v>Good</v>
      </c>
      <c r="J50" s="577" t="str">
        <f>IF(VLOOKUP($A50,'Pre-Assessment Estimator'!$A$10:$Z$228,J$2,FALSE)=0,"",VLOOKUP($A50,'Pre-Assessment Estimator'!$A$10:$Z$228,J$2,FALSE))</f>
        <v/>
      </c>
      <c r="K50" s="577" t="str">
        <f>IF(VLOOKUP($A50,'Pre-Assessment Estimator'!$A$10:$Z$228,K$2,FALSE)=0,"",VLOOKUP($A50,'Pre-Assessment Estimator'!$A$10:$Z$228,K$2,FALSE))</f>
        <v/>
      </c>
      <c r="L50" s="578" t="str">
        <f>IF(VLOOKUP($A50,'Pre-Assessment Estimator'!$A$10:$Z$228,L$2,FALSE)=0,"",VLOOKUP($A50,'Pre-Assessment Estimator'!$A$10:$Z$228,L$2,FALSE))</f>
        <v/>
      </c>
      <c r="M50" s="579"/>
      <c r="N50" s="580" t="str">
        <f>IF(VLOOKUP($A50,'Pre-Assessment Estimator'!$A$10:$Z$228,N$2,FALSE)=0,"",VLOOKUP($A50,'Pre-Assessment Estimator'!$A$10:$Z$228,N$2,FALSE))</f>
        <v/>
      </c>
      <c r="O50" s="575">
        <f>VLOOKUP($A50,'Pre-Assessment Estimator'!$A$10:$Z$228,O$2,FALSE)</f>
        <v>0</v>
      </c>
      <c r="P50" s="574" t="str">
        <f>VLOOKUP($A50,'Pre-Assessment Estimator'!$A$10:$Z$228,P$2,FALSE)</f>
        <v>Good</v>
      </c>
      <c r="Q50" s="577" t="str">
        <f>IF(VLOOKUP($A50,'Pre-Assessment Estimator'!$A$10:$Z$228,Q$2,FALSE)=0,"",VLOOKUP($A50,'Pre-Assessment Estimator'!$A$10:$Z$228,Q$2,FALSE))</f>
        <v/>
      </c>
      <c r="R50" s="577" t="str">
        <f>IF(VLOOKUP($A50,'Pre-Assessment Estimator'!$A$10:$Z$228,R$2,FALSE)=0,"",VLOOKUP($A50,'Pre-Assessment Estimator'!$A$10:$Z$228,R$2,FALSE))</f>
        <v/>
      </c>
      <c r="S50" s="578" t="str">
        <f>IF(VLOOKUP($A50,'Pre-Assessment Estimator'!$A$10:$Z$228,S$2,FALSE)=0,"",VLOOKUP($A50,'Pre-Assessment Estimator'!$A$10:$Z$228,S$2,FALSE))</f>
        <v/>
      </c>
      <c r="T50" s="581"/>
      <c r="U50" s="580" t="str">
        <f>IF(VLOOKUP($A50,'Pre-Assessment Estimator'!$A$10:$Z$228,U$2,FALSE)=0,"",VLOOKUP($A50,'Pre-Assessment Estimator'!$A$10:$Z$228,U$2,FALSE))</f>
        <v/>
      </c>
      <c r="V50" s="575">
        <f>VLOOKUP($A50,'Pre-Assessment Estimator'!$A$10:$Z$228,V$2,FALSE)</f>
        <v>0</v>
      </c>
      <c r="W50" s="574" t="str">
        <f>VLOOKUP($A50,'Pre-Assessment Estimator'!$A$10:$Z$228,W$2,FALSE)</f>
        <v>Good</v>
      </c>
      <c r="X50" s="577" t="str">
        <f>IF(VLOOKUP($A50,'Pre-Assessment Estimator'!$A$10:$Z$228,X$2,FALSE)=0,"",VLOOKUP($A50,'Pre-Assessment Estimator'!$A$10:$Z$228,X$2,FALSE))</f>
        <v/>
      </c>
      <c r="Y50" s="577" t="str">
        <f>IF(VLOOKUP($A50,'Pre-Assessment Estimator'!$A$10:$Z$228,Y$2,FALSE)=0,"",VLOOKUP($A50,'Pre-Assessment Estimator'!$A$10:$Z$228,Y$2,FALSE))</f>
        <v/>
      </c>
      <c r="Z50" s="370" t="str">
        <f>IF(VLOOKUP($A50,'Pre-Assessment Estimator'!$A$10:$Z$228,Z$2,FALSE)=0,"",VLOOKUP($A50,'Pre-Assessment Estimator'!$A$10:$Z$228,Z$2,FALSE))</f>
        <v/>
      </c>
      <c r="AA50" s="696">
        <v>39</v>
      </c>
      <c r="AB50" s="577"/>
      <c r="AF50" s="386">
        <f t="shared" si="0"/>
        <v>1</v>
      </c>
      <c r="AN50" s="386"/>
      <c r="AO50" s="386"/>
      <c r="AP50" s="386"/>
    </row>
    <row r="51" spans="1:42" x14ac:dyDescent="0.25">
      <c r="A51" s="823">
        <v>42</v>
      </c>
      <c r="B51" s="1234" t="s">
        <v>64</v>
      </c>
      <c r="C51" s="1234"/>
      <c r="D51" s="1257" t="str">
        <f>VLOOKUP($A51,'Pre-Assessment Estimator'!$A$10:$Z$228,D$2,FALSE)</f>
        <v>Hea 02</v>
      </c>
      <c r="E51" s="1258" t="str">
        <f>VLOOKUP($A51,'Pre-Assessment Estimator'!$A$10:$Z$228,E$2,FALSE)</f>
        <v xml:space="preserve">Post-construction indoor air quality measurement </v>
      </c>
      <c r="F51" s="574">
        <f>VLOOKUP($A51,'Pre-Assessment Estimator'!$A$10:$Z$228,F$2,FALSE)</f>
        <v>1</v>
      </c>
      <c r="G51" s="580" t="str">
        <f>IF(VLOOKUP($A51,'Pre-Assessment Estimator'!$A$10:$Z$228,G$2,FALSE)=0,"",VLOOKUP($A51,'Pre-Assessment Estimator'!$A$10:$Z$228,G$2,FALSE))</f>
        <v/>
      </c>
      <c r="H51" s="1220">
        <f>VLOOKUP($A51,'Pre-Assessment Estimator'!$A$10:$Z$228,H$2,FALSE)</f>
        <v>0</v>
      </c>
      <c r="I51" s="576" t="str">
        <f>VLOOKUP($A51,'Pre-Assessment Estimator'!$A$10:$Z$228,I$2,FALSE)</f>
        <v>N/A</v>
      </c>
      <c r="J51" s="577" t="str">
        <f>IF(VLOOKUP($A51,'Pre-Assessment Estimator'!$A$10:$Z$228,J$2,FALSE)=0,"",VLOOKUP($A51,'Pre-Assessment Estimator'!$A$10:$Z$228,J$2,FALSE))</f>
        <v/>
      </c>
      <c r="K51" s="577" t="str">
        <f>IF(VLOOKUP($A51,'Pre-Assessment Estimator'!$A$10:$Z$228,K$2,FALSE)=0,"",VLOOKUP($A51,'Pre-Assessment Estimator'!$A$10:$Z$228,K$2,FALSE))</f>
        <v/>
      </c>
      <c r="L51" s="578" t="str">
        <f>IF(VLOOKUP($A51,'Pre-Assessment Estimator'!$A$10:$Z$228,L$2,FALSE)=0,"",VLOOKUP($A51,'Pre-Assessment Estimator'!$A$10:$Z$228,L$2,FALSE))</f>
        <v/>
      </c>
      <c r="M51" s="579"/>
      <c r="N51" s="580" t="str">
        <f>IF(VLOOKUP($A51,'Pre-Assessment Estimator'!$A$10:$Z$228,N$2,FALSE)=0,"",VLOOKUP($A51,'Pre-Assessment Estimator'!$A$10:$Z$228,N$2,FALSE))</f>
        <v/>
      </c>
      <c r="O51" s="575">
        <f>VLOOKUP($A51,'Pre-Assessment Estimator'!$A$10:$Z$228,O$2,FALSE)</f>
        <v>0</v>
      </c>
      <c r="P51" s="574" t="str">
        <f>VLOOKUP($A51,'Pre-Assessment Estimator'!$A$10:$Z$228,P$2,FALSE)</f>
        <v>N/A</v>
      </c>
      <c r="Q51" s="577" t="str">
        <f>IF(VLOOKUP($A51,'Pre-Assessment Estimator'!$A$10:$Z$228,Q$2,FALSE)=0,"",VLOOKUP($A51,'Pre-Assessment Estimator'!$A$10:$Z$228,Q$2,FALSE))</f>
        <v/>
      </c>
      <c r="R51" s="577" t="str">
        <f>IF(VLOOKUP($A51,'Pre-Assessment Estimator'!$A$10:$Z$228,R$2,FALSE)=0,"",VLOOKUP($A51,'Pre-Assessment Estimator'!$A$10:$Z$228,R$2,FALSE))</f>
        <v/>
      </c>
      <c r="S51" s="578" t="str">
        <f>IF(VLOOKUP($A51,'Pre-Assessment Estimator'!$A$10:$Z$228,S$2,FALSE)=0,"",VLOOKUP($A51,'Pre-Assessment Estimator'!$A$10:$Z$228,S$2,FALSE))</f>
        <v/>
      </c>
      <c r="T51" s="581"/>
      <c r="U51" s="580" t="str">
        <f>IF(VLOOKUP($A51,'Pre-Assessment Estimator'!$A$10:$Z$228,U$2,FALSE)=0,"",VLOOKUP($A51,'Pre-Assessment Estimator'!$A$10:$Z$228,U$2,FALSE))</f>
        <v/>
      </c>
      <c r="V51" s="575">
        <f>VLOOKUP($A51,'Pre-Assessment Estimator'!$A$10:$Z$228,V$2,FALSE)</f>
        <v>0</v>
      </c>
      <c r="W51" s="574" t="str">
        <f>VLOOKUP($A51,'Pre-Assessment Estimator'!$A$10:$Z$228,W$2,FALSE)</f>
        <v>N/A</v>
      </c>
      <c r="X51" s="577" t="str">
        <f>IF(VLOOKUP($A51,'Pre-Assessment Estimator'!$A$10:$Z$228,X$2,FALSE)=0,"",VLOOKUP($A51,'Pre-Assessment Estimator'!$A$10:$Z$228,X$2,FALSE))</f>
        <v/>
      </c>
      <c r="Y51" s="577" t="str">
        <f>IF(VLOOKUP($A51,'Pre-Assessment Estimator'!$A$10:$Z$228,Y$2,FALSE)=0,"",VLOOKUP($A51,'Pre-Assessment Estimator'!$A$10:$Z$228,Y$2,FALSE))</f>
        <v/>
      </c>
      <c r="Z51" s="370" t="str">
        <f>IF(VLOOKUP($A51,'Pre-Assessment Estimator'!$A$10:$Z$228,Z$2,FALSE)=0,"",VLOOKUP($A51,'Pre-Assessment Estimator'!$A$10:$Z$228,Z$2,FALSE))</f>
        <v/>
      </c>
      <c r="AA51" s="696">
        <v>40</v>
      </c>
      <c r="AB51" s="577"/>
      <c r="AF51" s="386">
        <f t="shared" si="0"/>
        <v>1</v>
      </c>
      <c r="AN51" s="386"/>
      <c r="AO51" s="386"/>
      <c r="AP51" s="386"/>
    </row>
    <row r="52" spans="1:42" x14ac:dyDescent="0.25">
      <c r="A52" s="823">
        <v>43</v>
      </c>
      <c r="B52" s="1234" t="s">
        <v>64</v>
      </c>
      <c r="C52" s="1234"/>
      <c r="D52" s="1256" t="str">
        <f>VLOOKUP($A52,'Pre-Assessment Estimator'!$A$10:$Z$228,D$2,FALSE)</f>
        <v>Hea 03</v>
      </c>
      <c r="E52" s="1256" t="str">
        <f>VLOOKUP($A52,'Pre-Assessment Estimator'!$A$10:$Z$228,E$2,FALSE)</f>
        <v>Hea 03 Thermal comfort</v>
      </c>
      <c r="F52" s="574">
        <f>VLOOKUP($A52,'Pre-Assessment Estimator'!$A$10:$Z$228,F$2,FALSE)</f>
        <v>3</v>
      </c>
      <c r="G52" s="580" t="str">
        <f>IF(VLOOKUP($A52,'Pre-Assessment Estimator'!$A$10:$Z$228,G$2,FALSE)=0,"",VLOOKUP($A52,'Pre-Assessment Estimator'!$A$10:$Z$228,G$2,FALSE))</f>
        <v/>
      </c>
      <c r="H52" s="1220" t="str">
        <f>VLOOKUP($A52,'Pre-Assessment Estimator'!$A$10:$Z$228,H$2,FALSE)</f>
        <v>0 c. 0 %</v>
      </c>
      <c r="I52" s="576" t="str">
        <f>VLOOKUP($A52,'Pre-Assessment Estimator'!$A$10:$Z$228,I$2,FALSE)</f>
        <v>N/A</v>
      </c>
      <c r="J52" s="577" t="str">
        <f>IF(VLOOKUP($A52,'Pre-Assessment Estimator'!$A$10:$Z$228,J$2,FALSE)=0,"",VLOOKUP($A52,'Pre-Assessment Estimator'!$A$10:$Z$228,J$2,FALSE))</f>
        <v/>
      </c>
      <c r="K52" s="577" t="str">
        <f>IF(VLOOKUP($A52,'Pre-Assessment Estimator'!$A$10:$Z$228,K$2,FALSE)=0,"",VLOOKUP($A52,'Pre-Assessment Estimator'!$A$10:$Z$228,K$2,FALSE))</f>
        <v/>
      </c>
      <c r="L52" s="578" t="str">
        <f>IF(VLOOKUP($A52,'Pre-Assessment Estimator'!$A$10:$Z$228,L$2,FALSE)=0,"",VLOOKUP($A52,'Pre-Assessment Estimator'!$A$10:$Z$228,L$2,FALSE))</f>
        <v/>
      </c>
      <c r="M52" s="579"/>
      <c r="N52" s="580" t="str">
        <f>IF(VLOOKUP($A52,'Pre-Assessment Estimator'!$A$10:$Z$228,N$2,FALSE)=0,"",VLOOKUP($A52,'Pre-Assessment Estimator'!$A$10:$Z$228,N$2,FALSE))</f>
        <v/>
      </c>
      <c r="O52" s="575" t="str">
        <f>VLOOKUP($A52,'Pre-Assessment Estimator'!$A$10:$Z$228,O$2,FALSE)</f>
        <v>0 c. 0 %</v>
      </c>
      <c r="P52" s="574" t="str">
        <f>VLOOKUP($A52,'Pre-Assessment Estimator'!$A$10:$Z$228,P$2,FALSE)</f>
        <v>N/A</v>
      </c>
      <c r="Q52" s="577" t="str">
        <f>IF(VLOOKUP($A52,'Pre-Assessment Estimator'!$A$10:$Z$228,Q$2,FALSE)=0,"",VLOOKUP($A52,'Pre-Assessment Estimator'!$A$10:$Z$228,Q$2,FALSE))</f>
        <v/>
      </c>
      <c r="R52" s="577" t="str">
        <f>IF(VLOOKUP($A52,'Pre-Assessment Estimator'!$A$10:$Z$228,R$2,FALSE)=0,"",VLOOKUP($A52,'Pre-Assessment Estimator'!$A$10:$Z$228,R$2,FALSE))</f>
        <v/>
      </c>
      <c r="S52" s="578" t="str">
        <f>IF(VLOOKUP($A52,'Pre-Assessment Estimator'!$A$10:$Z$228,S$2,FALSE)=0,"",VLOOKUP($A52,'Pre-Assessment Estimator'!$A$10:$Z$228,S$2,FALSE))</f>
        <v/>
      </c>
      <c r="T52" s="581"/>
      <c r="U52" s="580" t="str">
        <f>IF(VLOOKUP($A52,'Pre-Assessment Estimator'!$A$10:$Z$228,U$2,FALSE)=0,"",VLOOKUP($A52,'Pre-Assessment Estimator'!$A$10:$Z$228,U$2,FALSE))</f>
        <v/>
      </c>
      <c r="V52" s="575" t="str">
        <f>VLOOKUP($A52,'Pre-Assessment Estimator'!$A$10:$Z$228,V$2,FALSE)</f>
        <v>0 c. 0 %</v>
      </c>
      <c r="W52" s="574" t="str">
        <f>VLOOKUP($A52,'Pre-Assessment Estimator'!$A$10:$Z$228,W$2,FALSE)</f>
        <v>N/A</v>
      </c>
      <c r="X52" s="577" t="str">
        <f>IF(VLOOKUP($A52,'Pre-Assessment Estimator'!$A$10:$Z$228,X$2,FALSE)=0,"",VLOOKUP($A52,'Pre-Assessment Estimator'!$A$10:$Z$228,X$2,FALSE))</f>
        <v/>
      </c>
      <c r="Y52" s="577" t="str">
        <f>IF(VLOOKUP($A52,'Pre-Assessment Estimator'!$A$10:$Z$228,Y$2,FALSE)=0,"",VLOOKUP($A52,'Pre-Assessment Estimator'!$A$10:$Z$228,Y$2,FALSE))</f>
        <v/>
      </c>
      <c r="Z52" s="370" t="str">
        <f>IF(VLOOKUP($A52,'Pre-Assessment Estimator'!$A$10:$Z$228,Z$2,FALSE)=0,"",VLOOKUP($A52,'Pre-Assessment Estimator'!$A$10:$Z$228,Z$2,FALSE))</f>
        <v/>
      </c>
      <c r="AA52" s="696">
        <v>41</v>
      </c>
      <c r="AB52" s="577"/>
      <c r="AF52" s="386">
        <f t="shared" si="0"/>
        <v>1</v>
      </c>
      <c r="AN52" s="386"/>
      <c r="AO52" s="386"/>
      <c r="AP52" s="386"/>
    </row>
    <row r="53" spans="1:42" x14ac:dyDescent="0.25">
      <c r="A53" s="823">
        <v>44</v>
      </c>
      <c r="B53" s="1234" t="s">
        <v>64</v>
      </c>
      <c r="C53" s="1234"/>
      <c r="D53" s="1257" t="str">
        <f>VLOOKUP($A53,'Pre-Assessment Estimator'!$A$10:$Z$228,D$2,FALSE)</f>
        <v>Hea 03</v>
      </c>
      <c r="E53" s="1258" t="str">
        <f>VLOOKUP($A53,'Pre-Assessment Estimator'!$A$10:$Z$228,E$2,FALSE)</f>
        <v xml:space="preserve">Thermal modelling </v>
      </c>
      <c r="F53" s="574">
        <f>VLOOKUP($A53,'Pre-Assessment Estimator'!$A$10:$Z$228,F$2,FALSE)</f>
        <v>1</v>
      </c>
      <c r="G53" s="580" t="str">
        <f>IF(VLOOKUP($A53,'Pre-Assessment Estimator'!$A$10:$Z$228,G$2,FALSE)=0,"",VLOOKUP($A53,'Pre-Assessment Estimator'!$A$10:$Z$228,G$2,FALSE))</f>
        <v/>
      </c>
      <c r="H53" s="1220">
        <f>VLOOKUP($A53,'Pre-Assessment Estimator'!$A$10:$Z$228,H$2,FALSE)</f>
        <v>0</v>
      </c>
      <c r="I53" s="576" t="str">
        <f>VLOOKUP($A53,'Pre-Assessment Estimator'!$A$10:$Z$228,I$2,FALSE)</f>
        <v>N/A</v>
      </c>
      <c r="J53" s="577" t="str">
        <f>IF(VLOOKUP($A53,'Pre-Assessment Estimator'!$A$10:$Z$228,J$2,FALSE)=0,"",VLOOKUP($A53,'Pre-Assessment Estimator'!$A$10:$Z$228,J$2,FALSE))</f>
        <v/>
      </c>
      <c r="K53" s="577" t="str">
        <f>IF(VLOOKUP($A53,'Pre-Assessment Estimator'!$A$10:$Z$228,K$2,FALSE)=0,"",VLOOKUP($A53,'Pre-Assessment Estimator'!$A$10:$Z$228,K$2,FALSE))</f>
        <v/>
      </c>
      <c r="L53" s="578" t="str">
        <f>IF(VLOOKUP($A53,'Pre-Assessment Estimator'!$A$10:$Z$228,L$2,FALSE)=0,"",VLOOKUP($A53,'Pre-Assessment Estimator'!$A$10:$Z$228,L$2,FALSE))</f>
        <v/>
      </c>
      <c r="M53" s="579"/>
      <c r="N53" s="580" t="str">
        <f>IF(VLOOKUP($A53,'Pre-Assessment Estimator'!$A$10:$Z$228,N$2,FALSE)=0,"",VLOOKUP($A53,'Pre-Assessment Estimator'!$A$10:$Z$228,N$2,FALSE))</f>
        <v/>
      </c>
      <c r="O53" s="575">
        <f>VLOOKUP($A53,'Pre-Assessment Estimator'!$A$10:$Z$228,O$2,FALSE)</f>
        <v>0</v>
      </c>
      <c r="P53" s="574" t="str">
        <f>VLOOKUP($A53,'Pre-Assessment Estimator'!$A$10:$Z$228,P$2,FALSE)</f>
        <v>N/A</v>
      </c>
      <c r="Q53" s="577" t="str">
        <f>IF(VLOOKUP($A53,'Pre-Assessment Estimator'!$A$10:$Z$228,Q$2,FALSE)=0,"",VLOOKUP($A53,'Pre-Assessment Estimator'!$A$10:$Z$228,Q$2,FALSE))</f>
        <v/>
      </c>
      <c r="R53" s="577" t="str">
        <f>IF(VLOOKUP($A53,'Pre-Assessment Estimator'!$A$10:$Z$228,R$2,FALSE)=0,"",VLOOKUP($A53,'Pre-Assessment Estimator'!$A$10:$Z$228,R$2,FALSE))</f>
        <v/>
      </c>
      <c r="S53" s="578" t="str">
        <f>IF(VLOOKUP($A53,'Pre-Assessment Estimator'!$A$10:$Z$228,S$2,FALSE)=0,"",VLOOKUP($A53,'Pre-Assessment Estimator'!$A$10:$Z$228,S$2,FALSE))</f>
        <v/>
      </c>
      <c r="T53" s="581"/>
      <c r="U53" s="580" t="str">
        <f>IF(VLOOKUP($A53,'Pre-Assessment Estimator'!$A$10:$Z$228,U$2,FALSE)=0,"",VLOOKUP($A53,'Pre-Assessment Estimator'!$A$10:$Z$228,U$2,FALSE))</f>
        <v/>
      </c>
      <c r="V53" s="575">
        <f>VLOOKUP($A53,'Pre-Assessment Estimator'!$A$10:$Z$228,V$2,FALSE)</f>
        <v>0</v>
      </c>
      <c r="W53" s="574" t="str">
        <f>VLOOKUP($A53,'Pre-Assessment Estimator'!$A$10:$Z$228,W$2,FALSE)</f>
        <v>N/A</v>
      </c>
      <c r="X53" s="577" t="str">
        <f>IF(VLOOKUP($A53,'Pre-Assessment Estimator'!$A$10:$Z$228,X$2,FALSE)=0,"",VLOOKUP($A53,'Pre-Assessment Estimator'!$A$10:$Z$228,X$2,FALSE))</f>
        <v/>
      </c>
      <c r="Y53" s="577" t="str">
        <f>IF(VLOOKUP($A53,'Pre-Assessment Estimator'!$A$10:$Z$228,Y$2,FALSE)=0,"",VLOOKUP($A53,'Pre-Assessment Estimator'!$A$10:$Z$228,Y$2,FALSE))</f>
        <v/>
      </c>
      <c r="Z53" s="370" t="str">
        <f>IF(VLOOKUP($A53,'Pre-Assessment Estimator'!$A$10:$Z$228,Z$2,FALSE)=0,"",VLOOKUP($A53,'Pre-Assessment Estimator'!$A$10:$Z$228,Z$2,FALSE))</f>
        <v/>
      </c>
      <c r="AA53" s="696">
        <v>42</v>
      </c>
      <c r="AB53" s="577"/>
      <c r="AF53" s="386">
        <f t="shared" si="0"/>
        <v>1</v>
      </c>
      <c r="AN53" s="386"/>
      <c r="AO53" s="386"/>
      <c r="AP53" s="386"/>
    </row>
    <row r="54" spans="1:42" x14ac:dyDescent="0.25">
      <c r="A54" s="823">
        <v>45</v>
      </c>
      <c r="B54" s="1234" t="s">
        <v>64</v>
      </c>
      <c r="C54" s="1234"/>
      <c r="D54" s="1257" t="str">
        <f>VLOOKUP($A54,'Pre-Assessment Estimator'!$A$10:$Z$228,D$2,FALSE)</f>
        <v>Hea 03</v>
      </c>
      <c r="E54" s="1258" t="str">
        <f>VLOOKUP($A54,'Pre-Assessment Estimator'!$A$10:$Z$228,E$2,FALSE)</f>
        <v xml:space="preserve">Design for future thermal comfort </v>
      </c>
      <c r="F54" s="574">
        <f>VLOOKUP($A54,'Pre-Assessment Estimator'!$A$10:$Z$228,F$2,FALSE)</f>
        <v>1</v>
      </c>
      <c r="G54" s="580" t="str">
        <f>IF(VLOOKUP($A54,'Pre-Assessment Estimator'!$A$10:$Z$228,G$2,FALSE)=0,"",VLOOKUP($A54,'Pre-Assessment Estimator'!$A$10:$Z$228,G$2,FALSE))</f>
        <v/>
      </c>
      <c r="H54" s="1220">
        <f>VLOOKUP($A54,'Pre-Assessment Estimator'!$A$10:$Z$228,H$2,FALSE)</f>
        <v>0</v>
      </c>
      <c r="I54" s="576" t="str">
        <f>VLOOKUP($A54,'Pre-Assessment Estimator'!$A$10:$Z$228,I$2,FALSE)</f>
        <v>N/A</v>
      </c>
      <c r="J54" s="577" t="str">
        <f>IF(VLOOKUP($A54,'Pre-Assessment Estimator'!$A$10:$Z$228,J$2,FALSE)=0,"",VLOOKUP($A54,'Pre-Assessment Estimator'!$A$10:$Z$228,J$2,FALSE))</f>
        <v/>
      </c>
      <c r="K54" s="577" t="str">
        <f>IF(VLOOKUP($A54,'Pre-Assessment Estimator'!$A$10:$Z$228,K$2,FALSE)=0,"",VLOOKUP($A54,'Pre-Assessment Estimator'!$A$10:$Z$228,K$2,FALSE))</f>
        <v/>
      </c>
      <c r="L54" s="578" t="str">
        <f>IF(VLOOKUP($A54,'Pre-Assessment Estimator'!$A$10:$Z$228,L$2,FALSE)=0,"",VLOOKUP($A54,'Pre-Assessment Estimator'!$A$10:$Z$228,L$2,FALSE))</f>
        <v/>
      </c>
      <c r="M54" s="579"/>
      <c r="N54" s="580" t="str">
        <f>IF(VLOOKUP($A54,'Pre-Assessment Estimator'!$A$10:$Z$228,N$2,FALSE)=0,"",VLOOKUP($A54,'Pre-Assessment Estimator'!$A$10:$Z$228,N$2,FALSE))</f>
        <v/>
      </c>
      <c r="O54" s="575">
        <f>VLOOKUP($A54,'Pre-Assessment Estimator'!$A$10:$Z$228,O$2,FALSE)</f>
        <v>0</v>
      </c>
      <c r="P54" s="574" t="str">
        <f>VLOOKUP($A54,'Pre-Assessment Estimator'!$A$10:$Z$228,P$2,FALSE)</f>
        <v>N/A</v>
      </c>
      <c r="Q54" s="577" t="str">
        <f>IF(VLOOKUP($A54,'Pre-Assessment Estimator'!$A$10:$Z$228,Q$2,FALSE)=0,"",VLOOKUP($A54,'Pre-Assessment Estimator'!$A$10:$Z$228,Q$2,FALSE))</f>
        <v/>
      </c>
      <c r="R54" s="577" t="str">
        <f>IF(VLOOKUP($A54,'Pre-Assessment Estimator'!$A$10:$Z$228,R$2,FALSE)=0,"",VLOOKUP($A54,'Pre-Assessment Estimator'!$A$10:$Z$228,R$2,FALSE))</f>
        <v/>
      </c>
      <c r="S54" s="578" t="str">
        <f>IF(VLOOKUP($A54,'Pre-Assessment Estimator'!$A$10:$Z$228,S$2,FALSE)=0,"",VLOOKUP($A54,'Pre-Assessment Estimator'!$A$10:$Z$228,S$2,FALSE))</f>
        <v/>
      </c>
      <c r="T54" s="581"/>
      <c r="U54" s="580" t="str">
        <f>IF(VLOOKUP($A54,'Pre-Assessment Estimator'!$A$10:$Z$228,U$2,FALSE)=0,"",VLOOKUP($A54,'Pre-Assessment Estimator'!$A$10:$Z$228,U$2,FALSE))</f>
        <v/>
      </c>
      <c r="V54" s="575">
        <f>VLOOKUP($A54,'Pre-Assessment Estimator'!$A$10:$Z$228,V$2,FALSE)</f>
        <v>0</v>
      </c>
      <c r="W54" s="574" t="str">
        <f>VLOOKUP($A54,'Pre-Assessment Estimator'!$A$10:$Z$228,W$2,FALSE)</f>
        <v>N/A</v>
      </c>
      <c r="X54" s="577" t="str">
        <f>IF(VLOOKUP($A54,'Pre-Assessment Estimator'!$A$10:$Z$228,X$2,FALSE)=0,"",VLOOKUP($A54,'Pre-Assessment Estimator'!$A$10:$Z$228,X$2,FALSE))</f>
        <v/>
      </c>
      <c r="Y54" s="577" t="str">
        <f>IF(VLOOKUP($A54,'Pre-Assessment Estimator'!$A$10:$Z$228,Y$2,FALSE)=0,"",VLOOKUP($A54,'Pre-Assessment Estimator'!$A$10:$Z$228,Y$2,FALSE))</f>
        <v/>
      </c>
      <c r="Z54" s="370" t="str">
        <f>IF(VLOOKUP($A54,'Pre-Assessment Estimator'!$A$10:$Z$228,Z$2,FALSE)=0,"",VLOOKUP($A54,'Pre-Assessment Estimator'!$A$10:$Z$228,Z$2,FALSE))</f>
        <v/>
      </c>
      <c r="AA54" s="696">
        <v>43</v>
      </c>
      <c r="AB54" s="577"/>
      <c r="AF54" s="386">
        <f t="shared" si="0"/>
        <v>1</v>
      </c>
      <c r="AN54" s="386"/>
      <c r="AO54" s="386"/>
      <c r="AP54" s="386"/>
    </row>
    <row r="55" spans="1:42" x14ac:dyDescent="0.25">
      <c r="A55" s="823">
        <v>46</v>
      </c>
      <c r="B55" s="1234" t="s">
        <v>64</v>
      </c>
      <c r="C55" s="1234"/>
      <c r="D55" s="1257" t="str">
        <f>VLOOKUP($A55,'Pre-Assessment Estimator'!$A$10:$Z$228,D$2,FALSE)</f>
        <v>Hea 03</v>
      </c>
      <c r="E55" s="1258" t="str">
        <f>VLOOKUP($A55,'Pre-Assessment Estimator'!$A$10:$Z$228,E$2,FALSE)</f>
        <v xml:space="preserve">Thermal zoning and controls </v>
      </c>
      <c r="F55" s="574">
        <f>VLOOKUP($A55,'Pre-Assessment Estimator'!$A$10:$Z$228,F$2,FALSE)</f>
        <v>1</v>
      </c>
      <c r="G55" s="580" t="str">
        <f>IF(VLOOKUP($A55,'Pre-Assessment Estimator'!$A$10:$Z$228,G$2,FALSE)=0,"",VLOOKUP($A55,'Pre-Assessment Estimator'!$A$10:$Z$228,G$2,FALSE))</f>
        <v/>
      </c>
      <c r="H55" s="1220">
        <f>VLOOKUP($A55,'Pre-Assessment Estimator'!$A$10:$Z$228,H$2,FALSE)</f>
        <v>0</v>
      </c>
      <c r="I55" s="576" t="str">
        <f>VLOOKUP($A55,'Pre-Assessment Estimator'!$A$10:$Z$228,I$2,FALSE)</f>
        <v>N/A</v>
      </c>
      <c r="J55" s="577" t="str">
        <f>IF(VLOOKUP($A55,'Pre-Assessment Estimator'!$A$10:$Z$228,J$2,FALSE)=0,"",VLOOKUP($A55,'Pre-Assessment Estimator'!$A$10:$Z$228,J$2,FALSE))</f>
        <v/>
      </c>
      <c r="K55" s="577" t="str">
        <f>IF(VLOOKUP($A55,'Pre-Assessment Estimator'!$A$10:$Z$228,K$2,FALSE)=0,"",VLOOKUP($A55,'Pre-Assessment Estimator'!$A$10:$Z$228,K$2,FALSE))</f>
        <v/>
      </c>
      <c r="L55" s="578" t="str">
        <f>IF(VLOOKUP($A55,'Pre-Assessment Estimator'!$A$10:$Z$228,L$2,FALSE)=0,"",VLOOKUP($A55,'Pre-Assessment Estimator'!$A$10:$Z$228,L$2,FALSE))</f>
        <v/>
      </c>
      <c r="M55" s="579"/>
      <c r="N55" s="580" t="str">
        <f>IF(VLOOKUP($A55,'Pre-Assessment Estimator'!$A$10:$Z$228,N$2,FALSE)=0,"",VLOOKUP($A55,'Pre-Assessment Estimator'!$A$10:$Z$228,N$2,FALSE))</f>
        <v/>
      </c>
      <c r="O55" s="575">
        <f>VLOOKUP($A55,'Pre-Assessment Estimator'!$A$10:$Z$228,O$2,FALSE)</f>
        <v>0</v>
      </c>
      <c r="P55" s="574" t="str">
        <f>VLOOKUP($A55,'Pre-Assessment Estimator'!$A$10:$Z$228,P$2,FALSE)</f>
        <v>N/A</v>
      </c>
      <c r="Q55" s="577" t="str">
        <f>IF(VLOOKUP($A55,'Pre-Assessment Estimator'!$A$10:$Z$228,Q$2,FALSE)=0,"",VLOOKUP($A55,'Pre-Assessment Estimator'!$A$10:$Z$228,Q$2,FALSE))</f>
        <v/>
      </c>
      <c r="R55" s="577" t="str">
        <f>IF(VLOOKUP($A55,'Pre-Assessment Estimator'!$A$10:$Z$228,R$2,FALSE)=0,"",VLOOKUP($A55,'Pre-Assessment Estimator'!$A$10:$Z$228,R$2,FALSE))</f>
        <v/>
      </c>
      <c r="S55" s="578" t="str">
        <f>IF(VLOOKUP($A55,'Pre-Assessment Estimator'!$A$10:$Z$228,S$2,FALSE)=0,"",VLOOKUP($A55,'Pre-Assessment Estimator'!$A$10:$Z$228,S$2,FALSE))</f>
        <v/>
      </c>
      <c r="T55" s="581"/>
      <c r="U55" s="580" t="str">
        <f>IF(VLOOKUP($A55,'Pre-Assessment Estimator'!$A$10:$Z$228,U$2,FALSE)=0,"",VLOOKUP($A55,'Pre-Assessment Estimator'!$A$10:$Z$228,U$2,FALSE))</f>
        <v/>
      </c>
      <c r="V55" s="575">
        <f>VLOOKUP($A55,'Pre-Assessment Estimator'!$A$10:$Z$228,V$2,FALSE)</f>
        <v>0</v>
      </c>
      <c r="W55" s="574" t="str">
        <f>VLOOKUP($A55,'Pre-Assessment Estimator'!$A$10:$Z$228,W$2,FALSE)</f>
        <v>N/A</v>
      </c>
      <c r="X55" s="577" t="str">
        <f>IF(VLOOKUP($A55,'Pre-Assessment Estimator'!$A$10:$Z$228,X$2,FALSE)=0,"",VLOOKUP($A55,'Pre-Assessment Estimator'!$A$10:$Z$228,X$2,FALSE))</f>
        <v/>
      </c>
      <c r="Y55" s="577" t="str">
        <f>IF(VLOOKUP($A55,'Pre-Assessment Estimator'!$A$10:$Z$228,Y$2,FALSE)=0,"",VLOOKUP($A55,'Pre-Assessment Estimator'!$A$10:$Z$228,Y$2,FALSE))</f>
        <v/>
      </c>
      <c r="Z55" s="370" t="str">
        <f>IF(VLOOKUP($A55,'Pre-Assessment Estimator'!$A$10:$Z$228,Z$2,FALSE)=0,"",VLOOKUP($A55,'Pre-Assessment Estimator'!$A$10:$Z$228,Z$2,FALSE))</f>
        <v/>
      </c>
      <c r="AA55" s="696">
        <v>44</v>
      </c>
      <c r="AB55" s="577"/>
      <c r="AF55" s="386">
        <f t="shared" si="0"/>
        <v>1</v>
      </c>
      <c r="AN55" s="386"/>
      <c r="AO55" s="386"/>
      <c r="AP55" s="386"/>
    </row>
    <row r="56" spans="1:42" x14ac:dyDescent="0.25">
      <c r="A56" s="823">
        <v>47</v>
      </c>
      <c r="B56" s="1234" t="s">
        <v>64</v>
      </c>
      <c r="C56" s="1234"/>
      <c r="D56" s="1256" t="str">
        <f>VLOOKUP($A56,'Pre-Assessment Estimator'!$A$10:$Z$228,D$2,FALSE)</f>
        <v>Hea 05</v>
      </c>
      <c r="E56" s="1256" t="str">
        <f>VLOOKUP($A56,'Pre-Assessment Estimator'!$A$10:$Z$228,E$2,FALSE)</f>
        <v>Hea 05 Acoustic performance</v>
      </c>
      <c r="F56" s="574">
        <f>VLOOKUP($A56,'Pre-Assessment Estimator'!$A$10:$Z$228,F$2,FALSE)</f>
        <v>3</v>
      </c>
      <c r="G56" s="580" t="str">
        <f>IF(VLOOKUP($A56,'Pre-Assessment Estimator'!$A$10:$Z$228,G$2,FALSE)=0,"",VLOOKUP($A56,'Pre-Assessment Estimator'!$A$10:$Z$228,G$2,FALSE))</f>
        <v/>
      </c>
      <c r="H56" s="1220" t="str">
        <f>VLOOKUP($A56,'Pre-Assessment Estimator'!$A$10:$Z$228,H$2,FALSE)</f>
        <v>0 c. 0 %</v>
      </c>
      <c r="I56" s="576" t="str">
        <f>VLOOKUP($A56,'Pre-Assessment Estimator'!$A$10:$Z$228,I$2,FALSE)</f>
        <v>N/A</v>
      </c>
      <c r="J56" s="577" t="str">
        <f>IF(VLOOKUP($A56,'Pre-Assessment Estimator'!$A$10:$Z$228,J$2,FALSE)=0,"",VLOOKUP($A56,'Pre-Assessment Estimator'!$A$10:$Z$228,J$2,FALSE))</f>
        <v/>
      </c>
      <c r="K56" s="577" t="str">
        <f>IF(VLOOKUP($A56,'Pre-Assessment Estimator'!$A$10:$Z$228,K$2,FALSE)=0,"",VLOOKUP($A56,'Pre-Assessment Estimator'!$A$10:$Z$228,K$2,FALSE))</f>
        <v/>
      </c>
      <c r="L56" s="578" t="str">
        <f>IF(VLOOKUP($A56,'Pre-Assessment Estimator'!$A$10:$Z$228,L$2,FALSE)=0,"",VLOOKUP($A56,'Pre-Assessment Estimator'!$A$10:$Z$228,L$2,FALSE))</f>
        <v/>
      </c>
      <c r="M56" s="579"/>
      <c r="N56" s="580" t="str">
        <f>IF(VLOOKUP($A56,'Pre-Assessment Estimator'!$A$10:$Z$228,N$2,FALSE)=0,"",VLOOKUP($A56,'Pre-Assessment Estimator'!$A$10:$Z$228,N$2,FALSE))</f>
        <v/>
      </c>
      <c r="O56" s="575" t="str">
        <f>VLOOKUP($A56,'Pre-Assessment Estimator'!$A$10:$Z$228,O$2,FALSE)</f>
        <v>0 c. 0 %</v>
      </c>
      <c r="P56" s="574" t="str">
        <f>VLOOKUP($A56,'Pre-Assessment Estimator'!$A$10:$Z$228,P$2,FALSE)</f>
        <v>N/A</v>
      </c>
      <c r="Q56" s="577" t="str">
        <f>IF(VLOOKUP($A56,'Pre-Assessment Estimator'!$A$10:$Z$228,Q$2,FALSE)=0,"",VLOOKUP($A56,'Pre-Assessment Estimator'!$A$10:$Z$228,Q$2,FALSE))</f>
        <v/>
      </c>
      <c r="R56" s="577" t="str">
        <f>IF(VLOOKUP($A56,'Pre-Assessment Estimator'!$A$10:$Z$228,R$2,FALSE)=0,"",VLOOKUP($A56,'Pre-Assessment Estimator'!$A$10:$Z$228,R$2,FALSE))</f>
        <v/>
      </c>
      <c r="S56" s="578" t="str">
        <f>IF(VLOOKUP($A56,'Pre-Assessment Estimator'!$A$10:$Z$228,S$2,FALSE)=0,"",VLOOKUP($A56,'Pre-Assessment Estimator'!$A$10:$Z$228,S$2,FALSE))</f>
        <v/>
      </c>
      <c r="T56" s="581"/>
      <c r="U56" s="580" t="str">
        <f>IF(VLOOKUP($A56,'Pre-Assessment Estimator'!$A$10:$Z$228,U$2,FALSE)=0,"",VLOOKUP($A56,'Pre-Assessment Estimator'!$A$10:$Z$228,U$2,FALSE))</f>
        <v/>
      </c>
      <c r="V56" s="575" t="str">
        <f>VLOOKUP($A56,'Pre-Assessment Estimator'!$A$10:$Z$228,V$2,FALSE)</f>
        <v>0 c. 0 %</v>
      </c>
      <c r="W56" s="574" t="str">
        <f>VLOOKUP($A56,'Pre-Assessment Estimator'!$A$10:$Z$228,W$2,FALSE)</f>
        <v>N/A</v>
      </c>
      <c r="X56" s="577" t="str">
        <f>IF(VLOOKUP($A56,'Pre-Assessment Estimator'!$A$10:$Z$228,X$2,FALSE)=0,"",VLOOKUP($A56,'Pre-Assessment Estimator'!$A$10:$Z$228,X$2,FALSE))</f>
        <v/>
      </c>
      <c r="Y56" s="577" t="str">
        <f>IF(VLOOKUP($A56,'Pre-Assessment Estimator'!$A$10:$Z$228,Y$2,FALSE)=0,"",VLOOKUP($A56,'Pre-Assessment Estimator'!$A$10:$Z$228,Y$2,FALSE))</f>
        <v/>
      </c>
      <c r="Z56" s="370" t="str">
        <f>IF(VLOOKUP($A56,'Pre-Assessment Estimator'!$A$10:$Z$228,Z$2,FALSE)=0,"",VLOOKUP($A56,'Pre-Assessment Estimator'!$A$10:$Z$228,Z$2,FALSE))</f>
        <v/>
      </c>
      <c r="AA56" s="696">
        <v>45</v>
      </c>
      <c r="AB56" s="577"/>
      <c r="AF56" s="386">
        <f t="shared" si="0"/>
        <v>1</v>
      </c>
      <c r="AN56" s="386"/>
      <c r="AO56" s="386"/>
      <c r="AP56" s="386"/>
    </row>
    <row r="57" spans="1:42" x14ac:dyDescent="0.25">
      <c r="A57" s="823">
        <v>48</v>
      </c>
      <c r="B57" s="1234" t="s">
        <v>64</v>
      </c>
      <c r="C57" s="1234"/>
      <c r="D57" s="1257" t="str">
        <f>VLOOKUP($A57,'Pre-Assessment Estimator'!$A$10:$Z$228,D$2,FALSE)</f>
        <v>Hea 05</v>
      </c>
      <c r="E57" s="1258" t="str">
        <f>VLOOKUP($A57,'Pre-Assessment Estimator'!$A$10:$Z$228,E$2,FALSE)</f>
        <v xml:space="preserve">Pre-requisite: suitably qualified acoustician </v>
      </c>
      <c r="F57" s="574" t="str">
        <f>VLOOKUP($A57,'Pre-Assessment Estimator'!$A$10:$Z$228,F$2,FALSE)</f>
        <v>Yes/No</v>
      </c>
      <c r="G57" s="580" t="str">
        <f>IF(VLOOKUP($A57,'Pre-Assessment Estimator'!$A$10:$Z$228,G$2,FALSE)=0,"",VLOOKUP($A57,'Pre-Assessment Estimator'!$A$10:$Z$228,G$2,FALSE))</f>
        <v/>
      </c>
      <c r="H57" s="1220" t="str">
        <f>VLOOKUP($A57,'Pre-Assessment Estimator'!$A$10:$Z$228,H$2,FALSE)</f>
        <v>-</v>
      </c>
      <c r="I57" s="576" t="str">
        <f>VLOOKUP($A57,'Pre-Assessment Estimator'!$A$10:$Z$228,I$2,FALSE)</f>
        <v>N/A</v>
      </c>
      <c r="J57" s="577" t="str">
        <f>IF(VLOOKUP($A57,'Pre-Assessment Estimator'!$A$10:$Z$228,J$2,FALSE)=0,"",VLOOKUP($A57,'Pre-Assessment Estimator'!$A$10:$Z$228,J$2,FALSE))</f>
        <v/>
      </c>
      <c r="K57" s="577" t="str">
        <f>IF(VLOOKUP($A57,'Pre-Assessment Estimator'!$A$10:$Z$228,K$2,FALSE)=0,"",VLOOKUP($A57,'Pre-Assessment Estimator'!$A$10:$Z$228,K$2,FALSE))</f>
        <v/>
      </c>
      <c r="L57" s="578" t="str">
        <f>IF(VLOOKUP($A57,'Pre-Assessment Estimator'!$A$10:$Z$228,L$2,FALSE)=0,"",VLOOKUP($A57,'Pre-Assessment Estimator'!$A$10:$Z$228,L$2,FALSE))</f>
        <v/>
      </c>
      <c r="M57" s="579"/>
      <c r="N57" s="580" t="str">
        <f>IF(VLOOKUP($A57,'Pre-Assessment Estimator'!$A$10:$Z$228,N$2,FALSE)=0,"",VLOOKUP($A57,'Pre-Assessment Estimator'!$A$10:$Z$228,N$2,FALSE))</f>
        <v/>
      </c>
      <c r="O57" s="575" t="str">
        <f>VLOOKUP($A57,'Pre-Assessment Estimator'!$A$10:$Z$228,O$2,FALSE)</f>
        <v>-</v>
      </c>
      <c r="P57" s="574" t="str">
        <f>VLOOKUP($A57,'Pre-Assessment Estimator'!$A$10:$Z$228,P$2,FALSE)</f>
        <v>N/A</v>
      </c>
      <c r="Q57" s="577" t="str">
        <f>IF(VLOOKUP($A57,'Pre-Assessment Estimator'!$A$10:$Z$228,Q$2,FALSE)=0,"",VLOOKUP($A57,'Pre-Assessment Estimator'!$A$10:$Z$228,Q$2,FALSE))</f>
        <v/>
      </c>
      <c r="R57" s="577" t="str">
        <f>IF(VLOOKUP($A57,'Pre-Assessment Estimator'!$A$10:$Z$228,R$2,FALSE)=0,"",VLOOKUP($A57,'Pre-Assessment Estimator'!$A$10:$Z$228,R$2,FALSE))</f>
        <v/>
      </c>
      <c r="S57" s="578" t="str">
        <f>IF(VLOOKUP($A57,'Pre-Assessment Estimator'!$A$10:$Z$228,S$2,FALSE)=0,"",VLOOKUP($A57,'Pre-Assessment Estimator'!$A$10:$Z$228,S$2,FALSE))</f>
        <v/>
      </c>
      <c r="T57" s="581"/>
      <c r="U57" s="580" t="str">
        <f>IF(VLOOKUP($A57,'Pre-Assessment Estimator'!$A$10:$Z$228,U$2,FALSE)=0,"",VLOOKUP($A57,'Pre-Assessment Estimator'!$A$10:$Z$228,U$2,FALSE))</f>
        <v/>
      </c>
      <c r="V57" s="575" t="str">
        <f>VLOOKUP($A57,'Pre-Assessment Estimator'!$A$10:$Z$228,V$2,FALSE)</f>
        <v>-</v>
      </c>
      <c r="W57" s="574" t="str">
        <f>VLOOKUP($A57,'Pre-Assessment Estimator'!$A$10:$Z$228,W$2,FALSE)</f>
        <v>N/A</v>
      </c>
      <c r="X57" s="577" t="str">
        <f>IF(VLOOKUP($A57,'Pre-Assessment Estimator'!$A$10:$Z$228,X$2,FALSE)=0,"",VLOOKUP($A57,'Pre-Assessment Estimator'!$A$10:$Z$228,X$2,FALSE))</f>
        <v/>
      </c>
      <c r="Y57" s="577" t="str">
        <f>IF(VLOOKUP($A57,'Pre-Assessment Estimator'!$A$10:$Z$228,Y$2,FALSE)=0,"",VLOOKUP($A57,'Pre-Assessment Estimator'!$A$10:$Z$228,Y$2,FALSE))</f>
        <v/>
      </c>
      <c r="Z57" s="370" t="str">
        <f>IF(VLOOKUP($A57,'Pre-Assessment Estimator'!$A$10:$Z$228,Z$2,FALSE)=0,"",VLOOKUP($A57,'Pre-Assessment Estimator'!$A$10:$Z$228,Z$2,FALSE))</f>
        <v/>
      </c>
      <c r="AA57" s="696">
        <v>46</v>
      </c>
      <c r="AB57" s="577"/>
      <c r="AF57" s="386">
        <f t="shared" si="0"/>
        <v>1</v>
      </c>
      <c r="AN57" s="386"/>
      <c r="AO57" s="386"/>
      <c r="AP57" s="386"/>
    </row>
    <row r="58" spans="1:42" x14ac:dyDescent="0.25">
      <c r="A58" s="823">
        <v>49</v>
      </c>
      <c r="B58" s="1234" t="s">
        <v>64</v>
      </c>
      <c r="C58" s="1234"/>
      <c r="D58" s="1257" t="str">
        <f>VLOOKUP($A58,'Pre-Assessment Estimator'!$A$10:$Z$228,D$2,FALSE)</f>
        <v>Hea 05</v>
      </c>
      <c r="E58" s="1258" t="str">
        <f>VLOOKUP($A58,'Pre-Assessment Estimator'!$A$10:$Z$228,E$2,FALSE)</f>
        <v xml:space="preserve">Sound class requirements </v>
      </c>
      <c r="F58" s="574">
        <f>VLOOKUP($A58,'Pre-Assessment Estimator'!$A$10:$Z$228,F$2,FALSE)</f>
        <v>3</v>
      </c>
      <c r="G58" s="580" t="str">
        <f>IF(VLOOKUP($A58,'Pre-Assessment Estimator'!$A$10:$Z$228,G$2,FALSE)=0,"",VLOOKUP($A58,'Pre-Assessment Estimator'!$A$10:$Z$228,G$2,FALSE))</f>
        <v/>
      </c>
      <c r="H58" s="1220">
        <f>VLOOKUP($A58,'Pre-Assessment Estimator'!$A$10:$Z$228,H$2,FALSE)</f>
        <v>0</v>
      </c>
      <c r="I58" s="576" t="str">
        <f>VLOOKUP($A58,'Pre-Assessment Estimator'!$A$10:$Z$228,I$2,FALSE)</f>
        <v>N/A</v>
      </c>
      <c r="J58" s="577" t="str">
        <f>IF(VLOOKUP($A58,'Pre-Assessment Estimator'!$A$10:$Z$228,J$2,FALSE)=0,"",VLOOKUP($A58,'Pre-Assessment Estimator'!$A$10:$Z$228,J$2,FALSE))</f>
        <v/>
      </c>
      <c r="K58" s="577" t="str">
        <f>IF(VLOOKUP($A58,'Pre-Assessment Estimator'!$A$10:$Z$228,K$2,FALSE)=0,"",VLOOKUP($A58,'Pre-Assessment Estimator'!$A$10:$Z$228,K$2,FALSE))</f>
        <v/>
      </c>
      <c r="L58" s="578" t="str">
        <f>IF(VLOOKUP($A58,'Pre-Assessment Estimator'!$A$10:$Z$228,L$2,FALSE)=0,"",VLOOKUP($A58,'Pre-Assessment Estimator'!$A$10:$Z$228,L$2,FALSE))</f>
        <v/>
      </c>
      <c r="M58" s="579"/>
      <c r="N58" s="580" t="str">
        <f>IF(VLOOKUP($A58,'Pre-Assessment Estimator'!$A$10:$Z$228,N$2,FALSE)=0,"",VLOOKUP($A58,'Pre-Assessment Estimator'!$A$10:$Z$228,N$2,FALSE))</f>
        <v/>
      </c>
      <c r="O58" s="575">
        <f>VLOOKUP($A58,'Pre-Assessment Estimator'!$A$10:$Z$228,O$2,FALSE)</f>
        <v>0</v>
      </c>
      <c r="P58" s="574" t="str">
        <f>VLOOKUP($A58,'Pre-Assessment Estimator'!$A$10:$Z$228,P$2,FALSE)</f>
        <v>N/A</v>
      </c>
      <c r="Q58" s="577" t="str">
        <f>IF(VLOOKUP($A58,'Pre-Assessment Estimator'!$A$10:$Z$228,Q$2,FALSE)=0,"",VLOOKUP($A58,'Pre-Assessment Estimator'!$A$10:$Z$228,Q$2,FALSE))</f>
        <v/>
      </c>
      <c r="R58" s="577" t="str">
        <f>IF(VLOOKUP($A58,'Pre-Assessment Estimator'!$A$10:$Z$228,R$2,FALSE)=0,"",VLOOKUP($A58,'Pre-Assessment Estimator'!$A$10:$Z$228,R$2,FALSE))</f>
        <v/>
      </c>
      <c r="S58" s="578" t="str">
        <f>IF(VLOOKUP($A58,'Pre-Assessment Estimator'!$A$10:$Z$228,S$2,FALSE)=0,"",VLOOKUP($A58,'Pre-Assessment Estimator'!$A$10:$Z$228,S$2,FALSE))</f>
        <v/>
      </c>
      <c r="T58" s="581"/>
      <c r="U58" s="580" t="str">
        <f>IF(VLOOKUP($A58,'Pre-Assessment Estimator'!$A$10:$Z$228,U$2,FALSE)=0,"",VLOOKUP($A58,'Pre-Assessment Estimator'!$A$10:$Z$228,U$2,FALSE))</f>
        <v/>
      </c>
      <c r="V58" s="575">
        <f>VLOOKUP($A58,'Pre-Assessment Estimator'!$A$10:$Z$228,V$2,FALSE)</f>
        <v>0</v>
      </c>
      <c r="W58" s="574" t="str">
        <f>VLOOKUP($A58,'Pre-Assessment Estimator'!$A$10:$Z$228,W$2,FALSE)</f>
        <v>N/A</v>
      </c>
      <c r="X58" s="577" t="str">
        <f>IF(VLOOKUP($A58,'Pre-Assessment Estimator'!$A$10:$Z$228,X$2,FALSE)=0,"",VLOOKUP($A58,'Pre-Assessment Estimator'!$A$10:$Z$228,X$2,FALSE))</f>
        <v/>
      </c>
      <c r="Y58" s="577" t="str">
        <f>IF(VLOOKUP($A58,'Pre-Assessment Estimator'!$A$10:$Z$228,Y$2,FALSE)=0,"",VLOOKUP($A58,'Pre-Assessment Estimator'!$A$10:$Z$228,Y$2,FALSE))</f>
        <v/>
      </c>
      <c r="Z58" s="370" t="str">
        <f>IF(VLOOKUP($A58,'Pre-Assessment Estimator'!$A$10:$Z$228,Z$2,FALSE)=0,"",VLOOKUP($A58,'Pre-Assessment Estimator'!$A$10:$Z$228,Z$2,FALSE))</f>
        <v/>
      </c>
      <c r="AA58" s="696">
        <v>47</v>
      </c>
      <c r="AB58" s="577"/>
      <c r="AF58" s="386">
        <f t="shared" si="0"/>
        <v>1</v>
      </c>
      <c r="AN58" s="386"/>
      <c r="AO58" s="386"/>
      <c r="AP58" s="386"/>
    </row>
    <row r="59" spans="1:42" x14ac:dyDescent="0.25">
      <c r="A59" s="823">
        <v>50</v>
      </c>
      <c r="B59" s="1234" t="s">
        <v>64</v>
      </c>
      <c r="C59" s="1234"/>
      <c r="D59" s="1256" t="str">
        <f>VLOOKUP($A59,'Pre-Assessment Estimator'!$A$10:$Z$228,D$2,FALSE)</f>
        <v>Hea 06</v>
      </c>
      <c r="E59" s="1256" t="str">
        <f>VLOOKUP($A59,'Pre-Assessment Estimator'!$A$10:$Z$228,E$2,FALSE)</f>
        <v>Hea 06 Safe access</v>
      </c>
      <c r="F59" s="574">
        <f>VLOOKUP($A59,'Pre-Assessment Estimator'!$A$10:$Z$228,F$2,FALSE)</f>
        <v>2</v>
      </c>
      <c r="G59" s="580" t="str">
        <f>IF(VLOOKUP($A59,'Pre-Assessment Estimator'!$A$10:$Z$228,G$2,FALSE)=0,"",VLOOKUP($A59,'Pre-Assessment Estimator'!$A$10:$Z$228,G$2,FALSE))</f>
        <v/>
      </c>
      <c r="H59" s="1220" t="str">
        <f>VLOOKUP($A59,'Pre-Assessment Estimator'!$A$10:$Z$228,H$2,FALSE)</f>
        <v>0 c. 0 %</v>
      </c>
      <c r="I59" s="576" t="str">
        <f>VLOOKUP($A59,'Pre-Assessment Estimator'!$A$10:$Z$228,I$2,FALSE)</f>
        <v>N/A</v>
      </c>
      <c r="J59" s="577" t="str">
        <f>IF(VLOOKUP($A59,'Pre-Assessment Estimator'!$A$10:$Z$228,J$2,FALSE)=0,"",VLOOKUP($A59,'Pre-Assessment Estimator'!$A$10:$Z$228,J$2,FALSE))</f>
        <v/>
      </c>
      <c r="K59" s="577" t="str">
        <f>IF(VLOOKUP($A59,'Pre-Assessment Estimator'!$A$10:$Z$228,K$2,FALSE)=0,"",VLOOKUP($A59,'Pre-Assessment Estimator'!$A$10:$Z$228,K$2,FALSE))</f>
        <v/>
      </c>
      <c r="L59" s="578" t="str">
        <f>IF(VLOOKUP($A59,'Pre-Assessment Estimator'!$A$10:$Z$228,L$2,FALSE)=0,"",VLOOKUP($A59,'Pre-Assessment Estimator'!$A$10:$Z$228,L$2,FALSE))</f>
        <v/>
      </c>
      <c r="M59" s="579"/>
      <c r="N59" s="580" t="str">
        <f>IF(VLOOKUP($A59,'Pre-Assessment Estimator'!$A$10:$Z$228,N$2,FALSE)=0,"",VLOOKUP($A59,'Pre-Assessment Estimator'!$A$10:$Z$228,N$2,FALSE))</f>
        <v/>
      </c>
      <c r="O59" s="575" t="str">
        <f>VLOOKUP($A59,'Pre-Assessment Estimator'!$A$10:$Z$228,O$2,FALSE)</f>
        <v>0 c. 0 %</v>
      </c>
      <c r="P59" s="574" t="str">
        <f>VLOOKUP($A59,'Pre-Assessment Estimator'!$A$10:$Z$228,P$2,FALSE)</f>
        <v>N/A</v>
      </c>
      <c r="Q59" s="577" t="str">
        <f>IF(VLOOKUP($A59,'Pre-Assessment Estimator'!$A$10:$Z$228,Q$2,FALSE)=0,"",VLOOKUP($A59,'Pre-Assessment Estimator'!$A$10:$Z$228,Q$2,FALSE))</f>
        <v/>
      </c>
      <c r="R59" s="577" t="str">
        <f>IF(VLOOKUP($A59,'Pre-Assessment Estimator'!$A$10:$Z$228,R$2,FALSE)=0,"",VLOOKUP($A59,'Pre-Assessment Estimator'!$A$10:$Z$228,R$2,FALSE))</f>
        <v/>
      </c>
      <c r="S59" s="578" t="str">
        <f>IF(VLOOKUP($A59,'Pre-Assessment Estimator'!$A$10:$Z$228,S$2,FALSE)=0,"",VLOOKUP($A59,'Pre-Assessment Estimator'!$A$10:$Z$228,S$2,FALSE))</f>
        <v/>
      </c>
      <c r="T59" s="581"/>
      <c r="U59" s="580" t="str">
        <f>IF(VLOOKUP($A59,'Pre-Assessment Estimator'!$A$10:$Z$228,U$2,FALSE)=0,"",VLOOKUP($A59,'Pre-Assessment Estimator'!$A$10:$Z$228,U$2,FALSE))</f>
        <v/>
      </c>
      <c r="V59" s="575" t="str">
        <f>VLOOKUP($A59,'Pre-Assessment Estimator'!$A$10:$Z$228,V$2,FALSE)</f>
        <v>0 c. 0 %</v>
      </c>
      <c r="W59" s="574" t="str">
        <f>VLOOKUP($A59,'Pre-Assessment Estimator'!$A$10:$Z$228,W$2,FALSE)</f>
        <v>N/A</v>
      </c>
      <c r="X59" s="577" t="str">
        <f>IF(VLOOKUP($A59,'Pre-Assessment Estimator'!$A$10:$Z$228,X$2,FALSE)=0,"",VLOOKUP($A59,'Pre-Assessment Estimator'!$A$10:$Z$228,X$2,FALSE))</f>
        <v/>
      </c>
      <c r="Y59" s="577" t="str">
        <f>IF(VLOOKUP($A59,'Pre-Assessment Estimator'!$A$10:$Z$228,Y$2,FALSE)=0,"",VLOOKUP($A59,'Pre-Assessment Estimator'!$A$10:$Z$228,Y$2,FALSE))</f>
        <v/>
      </c>
      <c r="Z59" s="370" t="str">
        <f>IF(VLOOKUP($A59,'Pre-Assessment Estimator'!$A$10:$Z$228,Z$2,FALSE)=0,"",VLOOKUP($A59,'Pre-Assessment Estimator'!$A$10:$Z$228,Z$2,FALSE))</f>
        <v/>
      </c>
      <c r="AA59" s="696">
        <v>48</v>
      </c>
      <c r="AB59" s="577"/>
      <c r="AF59" s="386">
        <f t="shared" si="0"/>
        <v>1</v>
      </c>
      <c r="AN59" s="386"/>
      <c r="AO59" s="386"/>
      <c r="AP59" s="386"/>
    </row>
    <row r="60" spans="1:42" x14ac:dyDescent="0.25">
      <c r="A60" s="823">
        <v>51</v>
      </c>
      <c r="B60" s="1234" t="s">
        <v>64</v>
      </c>
      <c r="C60" s="1234"/>
      <c r="D60" s="1257" t="str">
        <f>VLOOKUP($A60,'Pre-Assessment Estimator'!$A$10:$Z$228,D$2,FALSE)</f>
        <v>Hea 06</v>
      </c>
      <c r="E60" s="1258" t="str">
        <f>VLOOKUP($A60,'Pre-Assessment Estimator'!$A$10:$Z$228,E$2,FALSE)</f>
        <v xml:space="preserve">Inclusive design </v>
      </c>
      <c r="F60" s="574">
        <f>VLOOKUP($A60,'Pre-Assessment Estimator'!$A$10:$Z$228,F$2,FALSE)</f>
        <v>1</v>
      </c>
      <c r="G60" s="580" t="str">
        <f>IF(VLOOKUP($A60,'Pre-Assessment Estimator'!$A$10:$Z$228,G$2,FALSE)=0,"",VLOOKUP($A60,'Pre-Assessment Estimator'!$A$10:$Z$228,G$2,FALSE))</f>
        <v/>
      </c>
      <c r="H60" s="1220">
        <f>VLOOKUP($A60,'Pre-Assessment Estimator'!$A$10:$Z$228,H$2,FALSE)</f>
        <v>0</v>
      </c>
      <c r="I60" s="576" t="str">
        <f>VLOOKUP($A60,'Pre-Assessment Estimator'!$A$10:$Z$228,I$2,FALSE)</f>
        <v>N/A</v>
      </c>
      <c r="J60" s="577" t="str">
        <f>IF(VLOOKUP($A60,'Pre-Assessment Estimator'!$A$10:$Z$228,J$2,FALSE)=0,"",VLOOKUP($A60,'Pre-Assessment Estimator'!$A$10:$Z$228,J$2,FALSE))</f>
        <v/>
      </c>
      <c r="K60" s="577" t="str">
        <f>IF(VLOOKUP($A60,'Pre-Assessment Estimator'!$A$10:$Z$228,K$2,FALSE)=0,"",VLOOKUP($A60,'Pre-Assessment Estimator'!$A$10:$Z$228,K$2,FALSE))</f>
        <v/>
      </c>
      <c r="L60" s="578" t="str">
        <f>IF(VLOOKUP($A60,'Pre-Assessment Estimator'!$A$10:$Z$228,L$2,FALSE)=0,"",VLOOKUP($A60,'Pre-Assessment Estimator'!$A$10:$Z$228,L$2,FALSE))</f>
        <v/>
      </c>
      <c r="M60" s="579"/>
      <c r="N60" s="580" t="str">
        <f>IF(VLOOKUP($A60,'Pre-Assessment Estimator'!$A$10:$Z$228,N$2,FALSE)=0,"",VLOOKUP($A60,'Pre-Assessment Estimator'!$A$10:$Z$228,N$2,FALSE))</f>
        <v/>
      </c>
      <c r="O60" s="575">
        <f>VLOOKUP($A60,'Pre-Assessment Estimator'!$A$10:$Z$228,O$2,FALSE)</f>
        <v>0</v>
      </c>
      <c r="P60" s="574" t="str">
        <f>VLOOKUP($A60,'Pre-Assessment Estimator'!$A$10:$Z$228,P$2,FALSE)</f>
        <v>N/A</v>
      </c>
      <c r="Q60" s="577" t="str">
        <f>IF(VLOOKUP($A60,'Pre-Assessment Estimator'!$A$10:$Z$228,Q$2,FALSE)=0,"",VLOOKUP($A60,'Pre-Assessment Estimator'!$A$10:$Z$228,Q$2,FALSE))</f>
        <v/>
      </c>
      <c r="R60" s="577" t="str">
        <f>IF(VLOOKUP($A60,'Pre-Assessment Estimator'!$A$10:$Z$228,R$2,FALSE)=0,"",VLOOKUP($A60,'Pre-Assessment Estimator'!$A$10:$Z$228,R$2,FALSE))</f>
        <v/>
      </c>
      <c r="S60" s="578" t="str">
        <f>IF(VLOOKUP($A60,'Pre-Assessment Estimator'!$A$10:$Z$228,S$2,FALSE)=0,"",VLOOKUP($A60,'Pre-Assessment Estimator'!$A$10:$Z$228,S$2,FALSE))</f>
        <v/>
      </c>
      <c r="T60" s="581"/>
      <c r="U60" s="580" t="str">
        <f>IF(VLOOKUP($A60,'Pre-Assessment Estimator'!$A$10:$Z$228,U$2,FALSE)=0,"",VLOOKUP($A60,'Pre-Assessment Estimator'!$A$10:$Z$228,U$2,FALSE))</f>
        <v/>
      </c>
      <c r="V60" s="575">
        <f>VLOOKUP($A60,'Pre-Assessment Estimator'!$A$10:$Z$228,V$2,FALSE)</f>
        <v>0</v>
      </c>
      <c r="W60" s="574" t="str">
        <f>VLOOKUP($A60,'Pre-Assessment Estimator'!$A$10:$Z$228,W$2,FALSE)</f>
        <v>N/A</v>
      </c>
      <c r="X60" s="577" t="str">
        <f>IF(VLOOKUP($A60,'Pre-Assessment Estimator'!$A$10:$Z$228,X$2,FALSE)=0,"",VLOOKUP($A60,'Pre-Assessment Estimator'!$A$10:$Z$228,X$2,FALSE))</f>
        <v/>
      </c>
      <c r="Y60" s="577" t="str">
        <f>IF(VLOOKUP($A60,'Pre-Assessment Estimator'!$A$10:$Z$228,Y$2,FALSE)=0,"",VLOOKUP($A60,'Pre-Assessment Estimator'!$A$10:$Z$228,Y$2,FALSE))</f>
        <v/>
      </c>
      <c r="Z60" s="370" t="str">
        <f>IF(VLOOKUP($A60,'Pre-Assessment Estimator'!$A$10:$Z$228,Z$2,FALSE)=0,"",VLOOKUP($A60,'Pre-Assessment Estimator'!$A$10:$Z$228,Z$2,FALSE))</f>
        <v/>
      </c>
      <c r="AA60" s="696">
        <v>49</v>
      </c>
      <c r="AB60" s="577"/>
      <c r="AF60" s="386">
        <f t="shared" si="0"/>
        <v>1</v>
      </c>
      <c r="AN60" s="386"/>
      <c r="AO60" s="386"/>
      <c r="AP60" s="386"/>
    </row>
    <row r="61" spans="1:42" x14ac:dyDescent="0.25">
      <c r="A61" s="823">
        <v>52</v>
      </c>
      <c r="B61" s="1234" t="s">
        <v>64</v>
      </c>
      <c r="C61" s="1234"/>
      <c r="D61" s="1257" t="str">
        <f>VLOOKUP($A61,'Pre-Assessment Estimator'!$A$10:$Z$228,D$2,FALSE)</f>
        <v>Hea 06</v>
      </c>
      <c r="E61" s="1258" t="str">
        <f>VLOOKUP($A61,'Pre-Assessment Estimator'!$A$10:$Z$228,E$2,FALSE)</f>
        <v xml:space="preserve">Biofilik design </v>
      </c>
      <c r="F61" s="574">
        <f>VLOOKUP($A61,'Pre-Assessment Estimator'!$A$10:$Z$228,F$2,FALSE)</f>
        <v>1</v>
      </c>
      <c r="G61" s="580" t="str">
        <f>IF(VLOOKUP($A61,'Pre-Assessment Estimator'!$A$10:$Z$228,G$2,FALSE)=0,"",VLOOKUP($A61,'Pre-Assessment Estimator'!$A$10:$Z$228,G$2,FALSE))</f>
        <v/>
      </c>
      <c r="H61" s="1220">
        <f>VLOOKUP($A61,'Pre-Assessment Estimator'!$A$10:$Z$228,H$2,FALSE)</f>
        <v>0</v>
      </c>
      <c r="I61" s="576" t="str">
        <f>VLOOKUP($A61,'Pre-Assessment Estimator'!$A$10:$Z$228,I$2,FALSE)</f>
        <v>N/A</v>
      </c>
      <c r="J61" s="577" t="str">
        <f>IF(VLOOKUP($A61,'Pre-Assessment Estimator'!$A$10:$Z$228,J$2,FALSE)=0,"",VLOOKUP($A61,'Pre-Assessment Estimator'!$A$10:$Z$228,J$2,FALSE))</f>
        <v/>
      </c>
      <c r="K61" s="577" t="str">
        <f>IF(VLOOKUP($A61,'Pre-Assessment Estimator'!$A$10:$Z$228,K$2,FALSE)=0,"",VLOOKUP($A61,'Pre-Assessment Estimator'!$A$10:$Z$228,K$2,FALSE))</f>
        <v/>
      </c>
      <c r="L61" s="578" t="str">
        <f>IF(VLOOKUP($A61,'Pre-Assessment Estimator'!$A$10:$Z$228,L$2,FALSE)=0,"",VLOOKUP($A61,'Pre-Assessment Estimator'!$A$10:$Z$228,L$2,FALSE))</f>
        <v/>
      </c>
      <c r="M61" s="579"/>
      <c r="N61" s="580" t="str">
        <f>IF(VLOOKUP($A61,'Pre-Assessment Estimator'!$A$10:$Z$228,N$2,FALSE)=0,"",VLOOKUP($A61,'Pre-Assessment Estimator'!$A$10:$Z$228,N$2,FALSE))</f>
        <v/>
      </c>
      <c r="O61" s="575">
        <f>VLOOKUP($A61,'Pre-Assessment Estimator'!$A$10:$Z$228,O$2,FALSE)</f>
        <v>0</v>
      </c>
      <c r="P61" s="574" t="str">
        <f>VLOOKUP($A61,'Pre-Assessment Estimator'!$A$10:$Z$228,P$2,FALSE)</f>
        <v>N/A</v>
      </c>
      <c r="Q61" s="577" t="str">
        <f>IF(VLOOKUP($A61,'Pre-Assessment Estimator'!$A$10:$Z$228,Q$2,FALSE)=0,"",VLOOKUP($A61,'Pre-Assessment Estimator'!$A$10:$Z$228,Q$2,FALSE))</f>
        <v/>
      </c>
      <c r="R61" s="577" t="str">
        <f>IF(VLOOKUP($A61,'Pre-Assessment Estimator'!$A$10:$Z$228,R$2,FALSE)=0,"",VLOOKUP($A61,'Pre-Assessment Estimator'!$A$10:$Z$228,R$2,FALSE))</f>
        <v/>
      </c>
      <c r="S61" s="578" t="str">
        <f>IF(VLOOKUP($A61,'Pre-Assessment Estimator'!$A$10:$Z$228,S$2,FALSE)=0,"",VLOOKUP($A61,'Pre-Assessment Estimator'!$A$10:$Z$228,S$2,FALSE))</f>
        <v/>
      </c>
      <c r="T61" s="581"/>
      <c r="U61" s="580" t="str">
        <f>IF(VLOOKUP($A61,'Pre-Assessment Estimator'!$A$10:$Z$228,U$2,FALSE)=0,"",VLOOKUP($A61,'Pre-Assessment Estimator'!$A$10:$Z$228,U$2,FALSE))</f>
        <v/>
      </c>
      <c r="V61" s="575">
        <f>VLOOKUP($A61,'Pre-Assessment Estimator'!$A$10:$Z$228,V$2,FALSE)</f>
        <v>0</v>
      </c>
      <c r="W61" s="574" t="str">
        <f>VLOOKUP($A61,'Pre-Assessment Estimator'!$A$10:$Z$228,W$2,FALSE)</f>
        <v>N/A</v>
      </c>
      <c r="X61" s="577" t="str">
        <f>IF(VLOOKUP($A61,'Pre-Assessment Estimator'!$A$10:$Z$228,X$2,FALSE)=0,"",VLOOKUP($A61,'Pre-Assessment Estimator'!$A$10:$Z$228,X$2,FALSE))</f>
        <v/>
      </c>
      <c r="Y61" s="577" t="str">
        <f>IF(VLOOKUP($A61,'Pre-Assessment Estimator'!$A$10:$Z$228,Y$2,FALSE)=0,"",VLOOKUP($A61,'Pre-Assessment Estimator'!$A$10:$Z$228,Y$2,FALSE))</f>
        <v/>
      </c>
      <c r="Z61" s="370" t="str">
        <f>IF(VLOOKUP($A61,'Pre-Assessment Estimator'!$A$10:$Z$228,Z$2,FALSE)=0,"",VLOOKUP($A61,'Pre-Assessment Estimator'!$A$10:$Z$228,Z$2,FALSE))</f>
        <v/>
      </c>
      <c r="AA61" s="696">
        <v>50</v>
      </c>
      <c r="AB61" s="577"/>
      <c r="AF61" s="386">
        <f t="shared" si="0"/>
        <v>1</v>
      </c>
      <c r="AN61" s="386"/>
      <c r="AO61" s="386"/>
      <c r="AP61" s="386"/>
    </row>
    <row r="62" spans="1:42" x14ac:dyDescent="0.25">
      <c r="A62" s="823">
        <v>53</v>
      </c>
      <c r="B62" s="1234" t="s">
        <v>64</v>
      </c>
      <c r="C62" s="1234"/>
      <c r="D62" s="1256" t="str">
        <f>VLOOKUP($A62,'Pre-Assessment Estimator'!$A$10:$Z$228,D$2,FALSE)</f>
        <v>Hea 08</v>
      </c>
      <c r="E62" s="1256" t="str">
        <f>VLOOKUP($A62,'Pre-Assessment Estimator'!$A$10:$Z$228,E$2,FALSE)</f>
        <v>Hea 08 Private space</v>
      </c>
      <c r="F62" s="574">
        <f>VLOOKUP($A62,'Pre-Assessment Estimator'!$A$10:$Z$228,F$2,FALSE)</f>
        <v>0</v>
      </c>
      <c r="G62" s="580" t="str">
        <f>IF(VLOOKUP($A62,'Pre-Assessment Estimator'!$A$10:$Z$228,G$2,FALSE)=0,"",VLOOKUP($A62,'Pre-Assessment Estimator'!$A$10:$Z$228,G$2,FALSE))</f>
        <v/>
      </c>
      <c r="H62" s="1220" t="str">
        <f>VLOOKUP($A62,'Pre-Assessment Estimator'!$A$10:$Z$228,H$2,FALSE)</f>
        <v>0 c. 0 %</v>
      </c>
      <c r="I62" s="576" t="str">
        <f>VLOOKUP($A62,'Pre-Assessment Estimator'!$A$10:$Z$228,I$2,FALSE)</f>
        <v>N/A</v>
      </c>
      <c r="J62" s="577" t="str">
        <f>IF(VLOOKUP($A62,'Pre-Assessment Estimator'!$A$10:$Z$228,J$2,FALSE)=0,"",VLOOKUP($A62,'Pre-Assessment Estimator'!$A$10:$Z$228,J$2,FALSE))</f>
        <v/>
      </c>
      <c r="K62" s="577" t="str">
        <f>IF(VLOOKUP($A62,'Pre-Assessment Estimator'!$A$10:$Z$228,K$2,FALSE)=0,"",VLOOKUP($A62,'Pre-Assessment Estimator'!$A$10:$Z$228,K$2,FALSE))</f>
        <v/>
      </c>
      <c r="L62" s="578" t="str">
        <f>IF(VLOOKUP($A62,'Pre-Assessment Estimator'!$A$10:$Z$228,L$2,FALSE)=0,"",VLOOKUP($A62,'Pre-Assessment Estimator'!$A$10:$Z$228,L$2,FALSE))</f>
        <v/>
      </c>
      <c r="M62" s="579"/>
      <c r="N62" s="580" t="str">
        <f>IF(VLOOKUP($A62,'Pre-Assessment Estimator'!$A$10:$Z$228,N$2,FALSE)=0,"",VLOOKUP($A62,'Pre-Assessment Estimator'!$A$10:$Z$228,N$2,FALSE))</f>
        <v/>
      </c>
      <c r="O62" s="575" t="str">
        <f>VLOOKUP($A62,'Pre-Assessment Estimator'!$A$10:$Z$228,O$2,FALSE)</f>
        <v>0 c. 0 %</v>
      </c>
      <c r="P62" s="574" t="str">
        <f>VLOOKUP($A62,'Pre-Assessment Estimator'!$A$10:$Z$228,P$2,FALSE)</f>
        <v>N/A</v>
      </c>
      <c r="Q62" s="577" t="str">
        <f>IF(VLOOKUP($A62,'Pre-Assessment Estimator'!$A$10:$Z$228,Q$2,FALSE)=0,"",VLOOKUP($A62,'Pre-Assessment Estimator'!$A$10:$Z$228,Q$2,FALSE))</f>
        <v/>
      </c>
      <c r="R62" s="577" t="str">
        <f>IF(VLOOKUP($A62,'Pre-Assessment Estimator'!$A$10:$Z$228,R$2,FALSE)=0,"",VLOOKUP($A62,'Pre-Assessment Estimator'!$A$10:$Z$228,R$2,FALSE))</f>
        <v/>
      </c>
      <c r="S62" s="578" t="str">
        <f>IF(VLOOKUP($A62,'Pre-Assessment Estimator'!$A$10:$Z$228,S$2,FALSE)=0,"",VLOOKUP($A62,'Pre-Assessment Estimator'!$A$10:$Z$228,S$2,FALSE))</f>
        <v/>
      </c>
      <c r="T62" s="581"/>
      <c r="U62" s="580" t="str">
        <f>IF(VLOOKUP($A62,'Pre-Assessment Estimator'!$A$10:$Z$228,U$2,FALSE)=0,"",VLOOKUP($A62,'Pre-Assessment Estimator'!$A$10:$Z$228,U$2,FALSE))</f>
        <v/>
      </c>
      <c r="V62" s="575" t="str">
        <f>VLOOKUP($A62,'Pre-Assessment Estimator'!$A$10:$Z$228,V$2,FALSE)</f>
        <v>0 c. 0 %</v>
      </c>
      <c r="W62" s="574" t="str">
        <f>VLOOKUP($A62,'Pre-Assessment Estimator'!$A$10:$Z$228,W$2,FALSE)</f>
        <v>N/A</v>
      </c>
      <c r="X62" s="577" t="str">
        <f>IF(VLOOKUP($A62,'Pre-Assessment Estimator'!$A$10:$Z$228,X$2,FALSE)=0,"",VLOOKUP($A62,'Pre-Assessment Estimator'!$A$10:$Z$228,X$2,FALSE))</f>
        <v/>
      </c>
      <c r="Y62" s="577" t="str">
        <f>IF(VLOOKUP($A62,'Pre-Assessment Estimator'!$A$10:$Z$228,Y$2,FALSE)=0,"",VLOOKUP($A62,'Pre-Assessment Estimator'!$A$10:$Z$228,Y$2,FALSE))</f>
        <v/>
      </c>
      <c r="Z62" s="370" t="str">
        <f>IF(VLOOKUP($A62,'Pre-Assessment Estimator'!$A$10:$Z$228,Z$2,FALSE)=0,"",VLOOKUP($A62,'Pre-Assessment Estimator'!$A$10:$Z$228,Z$2,FALSE))</f>
        <v/>
      </c>
      <c r="AA62" s="696">
        <v>51</v>
      </c>
      <c r="AB62" s="577"/>
      <c r="AF62" s="386">
        <f t="shared" si="0"/>
        <v>2</v>
      </c>
      <c r="AN62" s="386"/>
      <c r="AO62" s="386"/>
      <c r="AP62" s="386"/>
    </row>
    <row r="63" spans="1:42" x14ac:dyDescent="0.25">
      <c r="A63" s="823">
        <v>54</v>
      </c>
      <c r="B63" s="1234" t="s">
        <v>64</v>
      </c>
      <c r="C63" s="1234"/>
      <c r="D63" s="1257" t="str">
        <f>VLOOKUP($A63,'Pre-Assessment Estimator'!$A$10:$Z$228,D$2,FALSE)</f>
        <v>Hea 08</v>
      </c>
      <c r="E63" s="1258" t="str">
        <f>VLOOKUP($A63,'Pre-Assessment Estimator'!$A$10:$Z$228,E$2,FALSE)</f>
        <v xml:space="preserve">Private outdoor spaces </v>
      </c>
      <c r="F63" s="574">
        <f>VLOOKUP($A63,'Pre-Assessment Estimator'!$A$10:$Z$228,F$2,FALSE)</f>
        <v>0</v>
      </c>
      <c r="G63" s="580" t="str">
        <f>IF(VLOOKUP($A63,'Pre-Assessment Estimator'!$A$10:$Z$228,G$2,FALSE)=0,"",VLOOKUP($A63,'Pre-Assessment Estimator'!$A$10:$Z$228,G$2,FALSE))</f>
        <v/>
      </c>
      <c r="H63" s="1220">
        <f>VLOOKUP($A63,'Pre-Assessment Estimator'!$A$10:$Z$228,H$2,FALSE)</f>
        <v>0</v>
      </c>
      <c r="I63" s="576" t="str">
        <f>VLOOKUP($A63,'Pre-Assessment Estimator'!$A$10:$Z$228,I$2,FALSE)</f>
        <v>N/A</v>
      </c>
      <c r="J63" s="577" t="str">
        <f>IF(VLOOKUP($A63,'Pre-Assessment Estimator'!$A$10:$Z$228,J$2,FALSE)=0,"",VLOOKUP($A63,'Pre-Assessment Estimator'!$A$10:$Z$228,J$2,FALSE))</f>
        <v/>
      </c>
      <c r="K63" s="577" t="str">
        <f>IF(VLOOKUP($A63,'Pre-Assessment Estimator'!$A$10:$Z$228,K$2,FALSE)=0,"",VLOOKUP($A63,'Pre-Assessment Estimator'!$A$10:$Z$228,K$2,FALSE))</f>
        <v/>
      </c>
      <c r="L63" s="578" t="str">
        <f>IF(VLOOKUP($A63,'Pre-Assessment Estimator'!$A$10:$Z$228,L$2,FALSE)=0,"",VLOOKUP($A63,'Pre-Assessment Estimator'!$A$10:$Z$228,L$2,FALSE))</f>
        <v/>
      </c>
      <c r="M63" s="579"/>
      <c r="N63" s="580" t="str">
        <f>IF(VLOOKUP($A63,'Pre-Assessment Estimator'!$A$10:$Z$228,N$2,FALSE)=0,"",VLOOKUP($A63,'Pre-Assessment Estimator'!$A$10:$Z$228,N$2,FALSE))</f>
        <v/>
      </c>
      <c r="O63" s="575">
        <f>VLOOKUP($A63,'Pre-Assessment Estimator'!$A$10:$Z$228,O$2,FALSE)</f>
        <v>0</v>
      </c>
      <c r="P63" s="574" t="str">
        <f>VLOOKUP($A63,'Pre-Assessment Estimator'!$A$10:$Z$228,P$2,FALSE)</f>
        <v>N/A</v>
      </c>
      <c r="Q63" s="577" t="str">
        <f>IF(VLOOKUP($A63,'Pre-Assessment Estimator'!$A$10:$Z$228,Q$2,FALSE)=0,"",VLOOKUP($A63,'Pre-Assessment Estimator'!$A$10:$Z$228,Q$2,FALSE))</f>
        <v/>
      </c>
      <c r="R63" s="577" t="str">
        <f>IF(VLOOKUP($A63,'Pre-Assessment Estimator'!$A$10:$Z$228,R$2,FALSE)=0,"",VLOOKUP($A63,'Pre-Assessment Estimator'!$A$10:$Z$228,R$2,FALSE))</f>
        <v/>
      </c>
      <c r="S63" s="578" t="str">
        <f>IF(VLOOKUP($A63,'Pre-Assessment Estimator'!$A$10:$Z$228,S$2,FALSE)=0,"",VLOOKUP($A63,'Pre-Assessment Estimator'!$A$10:$Z$228,S$2,FALSE))</f>
        <v/>
      </c>
      <c r="T63" s="581"/>
      <c r="U63" s="580" t="str">
        <f>IF(VLOOKUP($A63,'Pre-Assessment Estimator'!$A$10:$Z$228,U$2,FALSE)=0,"",VLOOKUP($A63,'Pre-Assessment Estimator'!$A$10:$Z$228,U$2,FALSE))</f>
        <v/>
      </c>
      <c r="V63" s="575">
        <f>VLOOKUP($A63,'Pre-Assessment Estimator'!$A$10:$Z$228,V$2,FALSE)</f>
        <v>0</v>
      </c>
      <c r="W63" s="574" t="str">
        <f>VLOOKUP($A63,'Pre-Assessment Estimator'!$A$10:$Z$228,W$2,FALSE)</f>
        <v>N/A</v>
      </c>
      <c r="X63" s="577" t="str">
        <f>IF(VLOOKUP($A63,'Pre-Assessment Estimator'!$A$10:$Z$228,X$2,FALSE)=0,"",VLOOKUP($A63,'Pre-Assessment Estimator'!$A$10:$Z$228,X$2,FALSE))</f>
        <v/>
      </c>
      <c r="Y63" s="577" t="str">
        <f>IF(VLOOKUP($A63,'Pre-Assessment Estimator'!$A$10:$Z$228,Y$2,FALSE)=0,"",VLOOKUP($A63,'Pre-Assessment Estimator'!$A$10:$Z$228,Y$2,FALSE))</f>
        <v/>
      </c>
      <c r="Z63" s="370" t="str">
        <f>IF(VLOOKUP($A63,'Pre-Assessment Estimator'!$A$10:$Z$228,Z$2,FALSE)=0,"",VLOOKUP($A63,'Pre-Assessment Estimator'!$A$10:$Z$228,Z$2,FALSE))</f>
        <v/>
      </c>
      <c r="AA63" s="696">
        <v>52</v>
      </c>
      <c r="AB63" s="577"/>
      <c r="AF63" s="386">
        <f t="shared" si="0"/>
        <v>2</v>
      </c>
      <c r="AN63" s="386"/>
      <c r="AO63" s="386"/>
      <c r="AP63" s="386"/>
    </row>
    <row r="64" spans="1:42" ht="30" customHeight="1" thickBot="1" x14ac:dyDescent="0.3">
      <c r="A64" s="823">
        <v>55</v>
      </c>
      <c r="B64" s="1234" t="s">
        <v>64</v>
      </c>
      <c r="C64" s="1234"/>
      <c r="D64" s="1259"/>
      <c r="E64" s="1259" t="str">
        <f>VLOOKUP($A64,'Pre-Assessment Estimator'!$A$10:$Z$228,E$2,FALSE)</f>
        <v>Total performance health &amp; wellbeing</v>
      </c>
      <c r="F64" s="582">
        <f>VLOOKUP($A64,'Pre-Assessment Estimator'!$A$10:$Z$228,F$2,FALSE)</f>
        <v>19</v>
      </c>
      <c r="G64" s="584" t="str">
        <f>IF(VLOOKUP($A64,'Pre-Assessment Estimator'!$A$10:$Z$228,G$2,FALSE)=0,"",VLOOKUP($A64,'Pre-Assessment Estimator'!$A$10:$Z$228,G$2,FALSE))</f>
        <v/>
      </c>
      <c r="H64" s="583">
        <f>VLOOKUP($A64,'Pre-Assessment Estimator'!$A$10:$Z$228,H$2,FALSE)</f>
        <v>0</v>
      </c>
      <c r="I64" s="582" t="str">
        <f>VLOOKUP($A64,'Pre-Assessment Estimator'!$A$10:$Z$228,I$2,FALSE)</f>
        <v>Credits achieved: 0</v>
      </c>
      <c r="J64" s="1202" t="str">
        <f>IF(VLOOKUP($A64,'Pre-Assessment Estimator'!$A$10:$Z$228,J$2,FALSE)=0,"",VLOOKUP($A64,'Pre-Assessment Estimator'!$A$10:$Z$228,J$2,FALSE))</f>
        <v/>
      </c>
      <c r="K64" s="1202" t="str">
        <f>IF(VLOOKUP($A64,'Pre-Assessment Estimator'!$A$10:$Z$228,K$2,FALSE)=0,"",VLOOKUP($A64,'Pre-Assessment Estimator'!$A$10:$Z$228,K$2,FALSE))</f>
        <v/>
      </c>
      <c r="L64" s="1221" t="str">
        <f>IF(VLOOKUP($A64,'Pre-Assessment Estimator'!$A$10:$Z$228,L$2,FALSE)=0,"",VLOOKUP($A64,'Pre-Assessment Estimator'!$A$10:$Z$228,L$2,FALSE))</f>
        <v/>
      </c>
      <c r="M64" s="1222"/>
      <c r="N64" s="584" t="str">
        <f>IF(VLOOKUP($A64,'Pre-Assessment Estimator'!$A$10:$Z$228,N$2,FALSE)=0,"",VLOOKUP($A64,'Pre-Assessment Estimator'!$A$10:$Z$228,N$2,FALSE))</f>
        <v/>
      </c>
      <c r="O64" s="583">
        <f>VLOOKUP($A64,'Pre-Assessment Estimator'!$A$10:$Z$228,O$2,FALSE)</f>
        <v>0</v>
      </c>
      <c r="P64" s="582" t="str">
        <f>VLOOKUP($A64,'Pre-Assessment Estimator'!$A$10:$Z$228,P$2,FALSE)</f>
        <v>Credits achieved: 0</v>
      </c>
      <c r="Q64" s="1202" t="str">
        <f>IF(VLOOKUP($A64,'Pre-Assessment Estimator'!$A$10:$Z$228,Q$2,FALSE)=0,"",VLOOKUP($A64,'Pre-Assessment Estimator'!$A$10:$Z$228,Q$2,FALSE))</f>
        <v/>
      </c>
      <c r="R64" s="1202" t="str">
        <f>IF(VLOOKUP($A64,'Pre-Assessment Estimator'!$A$10:$Z$228,R$2,FALSE)=0,"",VLOOKUP($A64,'Pre-Assessment Estimator'!$A$10:$Z$228,R$2,FALSE))</f>
        <v/>
      </c>
      <c r="S64" s="1221" t="str">
        <f>IF(VLOOKUP($A64,'Pre-Assessment Estimator'!$A$10:$Z$228,S$2,FALSE)=0,"",VLOOKUP($A64,'Pre-Assessment Estimator'!$A$10:$Z$228,S$2,FALSE))</f>
        <v/>
      </c>
      <c r="T64" s="1223"/>
      <c r="U64" s="584" t="str">
        <f>IF(VLOOKUP($A64,'Pre-Assessment Estimator'!$A$10:$Z$228,U$2,FALSE)=0,"",VLOOKUP($A64,'Pre-Assessment Estimator'!$A$10:$Z$228,U$2,FALSE))</f>
        <v/>
      </c>
      <c r="V64" s="583">
        <f>VLOOKUP($A64,'Pre-Assessment Estimator'!$A$10:$Z$228,V$2,FALSE)</f>
        <v>0</v>
      </c>
      <c r="W64" s="582" t="str">
        <f>VLOOKUP($A64,'Pre-Assessment Estimator'!$A$10:$Z$228,W$2,FALSE)</f>
        <v>Credits achieved: 0</v>
      </c>
      <c r="X64" s="1202" t="str">
        <f>IF(VLOOKUP($A64,'Pre-Assessment Estimator'!$A$10:$Z$228,X$2,FALSE)=0,"",VLOOKUP($A64,'Pre-Assessment Estimator'!$A$10:$Z$228,X$2,FALSE))</f>
        <v/>
      </c>
      <c r="Y64" s="1202" t="str">
        <f>IF(VLOOKUP($A64,'Pre-Assessment Estimator'!$A$10:$Z$228,Y$2,FALSE)=0,"",VLOOKUP($A64,'Pre-Assessment Estimator'!$A$10:$Z$228,Y$2,FALSE))</f>
        <v/>
      </c>
      <c r="Z64" s="1224" t="str">
        <f>IF(VLOOKUP($A64,'Pre-Assessment Estimator'!$A$10:$Z$228,Z$2,FALSE)=0,"",VLOOKUP($A64,'Pre-Assessment Estimator'!$A$10:$Z$228,Z$2,FALSE))</f>
        <v/>
      </c>
      <c r="AA64" s="696">
        <v>53</v>
      </c>
      <c r="AB64" s="577" t="str">
        <f>IF(VLOOKUP($A64,'Pre-Assessment Estimator'!$A$10:$AB$228,AB$2,FALSE)=0,"",VLOOKUP($A64,'Pre-Assessment Estimator'!$A$10:$AB$228,AB$2,FALSE))</f>
        <v/>
      </c>
      <c r="AF64" s="386">
        <f t="shared" si="0"/>
        <v>1</v>
      </c>
    </row>
    <row r="65" spans="1:32" x14ac:dyDescent="0.25">
      <c r="A65" s="823">
        <v>56</v>
      </c>
      <c r="B65" s="1234" t="s">
        <v>64</v>
      </c>
      <c r="C65" s="1234"/>
      <c r="D65" s="585"/>
      <c r="E65" s="585"/>
      <c r="F65" s="586"/>
      <c r="G65" s="586"/>
      <c r="H65" s="586"/>
      <c r="I65" s="586"/>
      <c r="J65" s="585"/>
      <c r="K65" s="586"/>
      <c r="L65" s="585"/>
      <c r="M65" s="579"/>
      <c r="N65" s="586"/>
      <c r="O65" s="586"/>
      <c r="P65" s="586"/>
      <c r="Q65" s="585"/>
      <c r="R65" s="586"/>
      <c r="S65" s="585"/>
      <c r="T65" s="581"/>
      <c r="U65" s="586"/>
      <c r="V65" s="586"/>
      <c r="W65" s="586"/>
      <c r="X65" s="585"/>
      <c r="Y65" s="586"/>
      <c r="Z65" s="343"/>
      <c r="AA65" s="696">
        <v>54</v>
      </c>
      <c r="AB65" s="585"/>
      <c r="AC65" s="389"/>
      <c r="AD65" s="389"/>
      <c r="AE65" s="389"/>
      <c r="AF65" s="386">
        <f t="shared" si="0"/>
        <v>1</v>
      </c>
    </row>
    <row r="66" spans="1:32" ht="18.75" x14ac:dyDescent="0.25">
      <c r="A66" s="823">
        <v>57</v>
      </c>
      <c r="B66" s="1234" t="s">
        <v>65</v>
      </c>
      <c r="C66" s="1234"/>
      <c r="D66" s="587"/>
      <c r="E66" s="587" t="s">
        <v>65</v>
      </c>
      <c r="F66" s="570"/>
      <c r="G66" s="570"/>
      <c r="H66" s="570"/>
      <c r="I66" s="570"/>
      <c r="J66" s="571" t="str">
        <f>IF(VLOOKUP($A66,'Pre-Assessment Estimator'!$A$10:$Z$228,J$2,FALSE)=0,"",VLOOKUP($A66,'Pre-Assessment Estimator'!$A$10:$Z$228,J$2,FALSE))</f>
        <v/>
      </c>
      <c r="K66" s="570" t="str">
        <f>IF(VLOOKUP($A66,'Pre-Assessment Estimator'!$A$10:$Z$228,K$2,FALSE)=0,"",VLOOKUP($A66,'Pre-Assessment Estimator'!$A$10:$Z$228,K$2,FALSE))</f>
        <v/>
      </c>
      <c r="L66" s="571" t="str">
        <f>IF(VLOOKUP($A66,'Pre-Assessment Estimator'!$A$10:$Z$228,L$2,FALSE)=0,"",VLOOKUP($A66,'Pre-Assessment Estimator'!$A$10:$Z$228,L$2,FALSE))</f>
        <v/>
      </c>
      <c r="M66" s="579"/>
      <c r="N66" s="570" t="str">
        <f>IF(VLOOKUP($A66,'Pre-Assessment Estimator'!$A$10:$Z$228,N$2,FALSE)=0,"",VLOOKUP($A66,'Pre-Assessment Estimator'!$A$10:$Z$228,N$2,FALSE))</f>
        <v/>
      </c>
      <c r="O66" s="570"/>
      <c r="P66" s="570"/>
      <c r="Q66" s="571" t="str">
        <f>IF(VLOOKUP($A66,'Pre-Assessment Estimator'!$A$10:$Z$228,Q$2,FALSE)=0,"",VLOOKUP($A66,'Pre-Assessment Estimator'!$A$10:$Z$228,Q$2,FALSE))</f>
        <v/>
      </c>
      <c r="R66" s="570" t="str">
        <f>IF(VLOOKUP($A66,'Pre-Assessment Estimator'!$A$10:$Z$228,R$2,FALSE)=0,"",VLOOKUP($A66,'Pre-Assessment Estimator'!$A$10:$Z$228,R$2,FALSE))</f>
        <v/>
      </c>
      <c r="S66" s="571" t="str">
        <f>IF(VLOOKUP($A66,'Pre-Assessment Estimator'!$A$10:$Z$228,S$2,FALSE)=0,"",VLOOKUP($A66,'Pre-Assessment Estimator'!$A$10:$Z$228,S$2,FALSE))</f>
        <v/>
      </c>
      <c r="T66" s="581"/>
      <c r="U66" s="570" t="str">
        <f>IF(VLOOKUP($A66,'Pre-Assessment Estimator'!$A$10:$Z$228,U$2,FALSE)=0,"",VLOOKUP($A66,'Pre-Assessment Estimator'!$A$10:$Z$228,U$2,FALSE))</f>
        <v/>
      </c>
      <c r="V66" s="570"/>
      <c r="W66" s="570"/>
      <c r="X66" s="571" t="str">
        <f>IF(VLOOKUP($A66,'Pre-Assessment Estimator'!$A$10:$Z$228,X$2,FALSE)=0,"",VLOOKUP($A66,'Pre-Assessment Estimator'!$A$10:$Z$228,X$2,FALSE))</f>
        <v/>
      </c>
      <c r="Y66" s="570" t="str">
        <f>IF(VLOOKUP($A66,'Pre-Assessment Estimator'!$A$10:$Z$228,Y$2,FALSE)=0,"",VLOOKUP($A66,'Pre-Assessment Estimator'!$A$10:$Z$228,Y$2,FALSE))</f>
        <v/>
      </c>
      <c r="Z66" s="411" t="str">
        <f>IF(VLOOKUP($A66,'Pre-Assessment Estimator'!$A$10:$Z$228,Z$2,FALSE)=0,"",VLOOKUP($A66,'Pre-Assessment Estimator'!$A$10:$Z$228,Z$2,FALSE))</f>
        <v/>
      </c>
      <c r="AA66" s="696">
        <v>55</v>
      </c>
      <c r="AB66" s="697"/>
      <c r="AF66" s="386">
        <f t="shared" si="0"/>
        <v>1</v>
      </c>
    </row>
    <row r="67" spans="1:32" x14ac:dyDescent="0.25">
      <c r="A67" s="823">
        <v>58</v>
      </c>
      <c r="B67" s="1234" t="s">
        <v>65</v>
      </c>
      <c r="C67" s="1234"/>
      <c r="D67" s="1256" t="str">
        <f>VLOOKUP($A67,'Pre-Assessment Estimator'!$A$10:$Z$228,D$2,FALSE)</f>
        <v>Ene 01</v>
      </c>
      <c r="E67" s="1256" t="str">
        <f>VLOOKUP($A67,'Pre-Assessment Estimator'!$A$10:$Z$228,E$2,FALSE)</f>
        <v>Ene 01 Energy efficiency</v>
      </c>
      <c r="F67" s="574">
        <f>VLOOKUP($A67,'Pre-Assessment Estimator'!$A$10:$Z$228,F$2,FALSE)</f>
        <v>12</v>
      </c>
      <c r="G67" s="580" t="str">
        <f>IF(VLOOKUP($A67,'Pre-Assessment Estimator'!$A$10:$Z$228,G$2,FALSE)=0,"",VLOOKUP($A67,'Pre-Assessment Estimator'!$A$10:$Z$228,G$2,FALSE))</f>
        <v/>
      </c>
      <c r="H67" s="1220" t="str">
        <f>VLOOKUP($A67,'Pre-Assessment Estimator'!$A$10:$Z$228,H$2,FALSE)</f>
        <v>0 c. 0 %</v>
      </c>
      <c r="I67" s="576" t="str">
        <f>VLOOKUP($A67,'Pre-Assessment Estimator'!$A$10:$Z$228,I$2,FALSE)</f>
        <v>N/A</v>
      </c>
      <c r="J67" s="577" t="str">
        <f>IF(VLOOKUP($A67,'Pre-Assessment Estimator'!$A$10:$Z$228,J$2,FALSE)=0,"",VLOOKUP($A67,'Pre-Assessment Estimator'!$A$10:$Z$228,J$2,FALSE))</f>
        <v/>
      </c>
      <c r="K67" s="577" t="str">
        <f>IF(VLOOKUP($A67,'Pre-Assessment Estimator'!$A$10:$Z$228,K$2,FALSE)=0,"",VLOOKUP($A67,'Pre-Assessment Estimator'!$A$10:$Z$228,K$2,FALSE))</f>
        <v/>
      </c>
      <c r="L67" s="578" t="str">
        <f>IF(VLOOKUP($A67,'Pre-Assessment Estimator'!$A$10:$Z$228,L$2,FALSE)=0,"",VLOOKUP($A67,'Pre-Assessment Estimator'!$A$10:$Z$228,L$2,FALSE))</f>
        <v/>
      </c>
      <c r="M67" s="579"/>
      <c r="N67" s="580" t="str">
        <f>IF(VLOOKUP($A67,'Pre-Assessment Estimator'!$A$10:$Z$228,N$2,FALSE)=0,"",VLOOKUP($A67,'Pre-Assessment Estimator'!$A$10:$Z$228,N$2,FALSE))</f>
        <v/>
      </c>
      <c r="O67" s="575" t="str">
        <f>VLOOKUP($A67,'Pre-Assessment Estimator'!$A$10:$Z$228,O$2,FALSE)</f>
        <v>0 c. 0 %</v>
      </c>
      <c r="P67" s="574" t="str">
        <f>VLOOKUP($A67,'Pre-Assessment Estimator'!$A$10:$Z$228,P$2,FALSE)</f>
        <v>N/A</v>
      </c>
      <c r="Q67" s="577" t="str">
        <f>IF(VLOOKUP($A67,'Pre-Assessment Estimator'!$A$10:$Z$228,Q$2,FALSE)=0,"",VLOOKUP($A67,'Pre-Assessment Estimator'!$A$10:$Z$228,Q$2,FALSE))</f>
        <v/>
      </c>
      <c r="R67" s="577" t="str">
        <f>IF(VLOOKUP($A67,'Pre-Assessment Estimator'!$A$10:$Z$228,R$2,FALSE)=0,"",VLOOKUP($A67,'Pre-Assessment Estimator'!$A$10:$Z$228,R$2,FALSE))</f>
        <v/>
      </c>
      <c r="S67" s="578" t="str">
        <f>IF(VLOOKUP($A67,'Pre-Assessment Estimator'!$A$10:$Z$228,S$2,FALSE)=0,"",VLOOKUP($A67,'Pre-Assessment Estimator'!$A$10:$Z$228,S$2,FALSE))</f>
        <v/>
      </c>
      <c r="T67" s="581"/>
      <c r="U67" s="580" t="str">
        <f>IF(VLOOKUP($A67,'Pre-Assessment Estimator'!$A$10:$Z$228,U$2,FALSE)=0,"",VLOOKUP($A67,'Pre-Assessment Estimator'!$A$10:$Z$228,U$2,FALSE))</f>
        <v/>
      </c>
      <c r="V67" s="575" t="str">
        <f>VLOOKUP($A67,'Pre-Assessment Estimator'!$A$10:$Z$228,V$2,FALSE)</f>
        <v>0 c. 0 %</v>
      </c>
      <c r="W67" s="574" t="str">
        <f>VLOOKUP($A67,'Pre-Assessment Estimator'!$A$10:$Z$228,W$2,FALSE)</f>
        <v>N/A</v>
      </c>
      <c r="X67" s="577" t="str">
        <f>IF(VLOOKUP($A67,'Pre-Assessment Estimator'!$A$10:$Z$228,X$2,FALSE)=0,"",VLOOKUP($A67,'Pre-Assessment Estimator'!$A$10:$Z$228,X$2,FALSE))</f>
        <v/>
      </c>
      <c r="Y67" s="577" t="str">
        <f>IF(VLOOKUP($A67,'Pre-Assessment Estimator'!$A$10:$Z$228,Y$2,FALSE)=0,"",VLOOKUP($A67,'Pre-Assessment Estimator'!$A$10:$Z$228,Y$2,FALSE))</f>
        <v/>
      </c>
      <c r="Z67" s="370" t="str">
        <f>IF(VLOOKUP($A67,'Pre-Assessment Estimator'!$A$10:$Z$228,Z$2,FALSE)=0,"",VLOOKUP($A67,'Pre-Assessment Estimator'!$A$10:$Z$228,Z$2,FALSE))</f>
        <v/>
      </c>
      <c r="AA67" s="696">
        <v>56</v>
      </c>
      <c r="AB67" s="577" t="str">
        <f>IF(VLOOKUP($A67,'Pre-Assessment Estimator'!$A$10:$AB$228,AB$2,FALSE)=0,"",VLOOKUP($A67,'Pre-Assessment Estimator'!$A$10:$AB$228,AB$2,FALSE))</f>
        <v/>
      </c>
      <c r="AF67" s="386">
        <f t="shared" si="0"/>
        <v>1</v>
      </c>
    </row>
    <row r="68" spans="1:32" x14ac:dyDescent="0.25">
      <c r="A68" s="823">
        <v>59</v>
      </c>
      <c r="B68" s="1234" t="s">
        <v>65</v>
      </c>
      <c r="C68" s="1234"/>
      <c r="D68" s="1257" t="str">
        <f>VLOOKUP($A68,'Pre-Assessment Estimator'!$A$10:$Z$228,D$2,FALSE)</f>
        <v>Ene 01</v>
      </c>
      <c r="E68" s="1258" t="str">
        <f>VLOOKUP($A68,'Pre-Assessment Estimator'!$A$10:$Z$228,E$2,FALSE)</f>
        <v xml:space="preserve">Passive design </v>
      </c>
      <c r="F68" s="574">
        <f>VLOOKUP($A68,'Pre-Assessment Estimator'!$A$10:$Z$228,F$2,FALSE)</f>
        <v>2</v>
      </c>
      <c r="G68" s="580" t="str">
        <f>IF(VLOOKUP($A68,'Pre-Assessment Estimator'!$A$10:$Z$228,G$2,FALSE)=0,"",VLOOKUP($A68,'Pre-Assessment Estimator'!$A$10:$Z$228,G$2,FALSE))</f>
        <v/>
      </c>
      <c r="H68" s="1220">
        <f>VLOOKUP($A68,'Pre-Assessment Estimator'!$A$10:$Z$228,H$2,FALSE)</f>
        <v>0</v>
      </c>
      <c r="I68" s="576" t="str">
        <f>VLOOKUP($A68,'Pre-Assessment Estimator'!$A$10:$Z$228,I$2,FALSE)</f>
        <v>N/A</v>
      </c>
      <c r="J68" s="577" t="str">
        <f>IF(VLOOKUP($A68,'Pre-Assessment Estimator'!$A$10:$Z$228,J$2,FALSE)=0,"",VLOOKUP($A68,'Pre-Assessment Estimator'!$A$10:$Z$228,J$2,FALSE))</f>
        <v/>
      </c>
      <c r="K68" s="577" t="str">
        <f>IF(VLOOKUP($A68,'Pre-Assessment Estimator'!$A$10:$Z$228,K$2,FALSE)=0,"",VLOOKUP($A68,'Pre-Assessment Estimator'!$A$10:$Z$228,K$2,FALSE))</f>
        <v/>
      </c>
      <c r="L68" s="578" t="str">
        <f>IF(VLOOKUP($A68,'Pre-Assessment Estimator'!$A$10:$Z$228,L$2,FALSE)=0,"",VLOOKUP($A68,'Pre-Assessment Estimator'!$A$10:$Z$228,L$2,FALSE))</f>
        <v/>
      </c>
      <c r="M68" s="579"/>
      <c r="N68" s="580" t="str">
        <f>IF(VLOOKUP($A68,'Pre-Assessment Estimator'!$A$10:$Z$228,N$2,FALSE)=0,"",VLOOKUP($A68,'Pre-Assessment Estimator'!$A$10:$Z$228,N$2,FALSE))</f>
        <v/>
      </c>
      <c r="O68" s="575">
        <f>VLOOKUP($A68,'Pre-Assessment Estimator'!$A$10:$Z$228,O$2,FALSE)</f>
        <v>0</v>
      </c>
      <c r="P68" s="574" t="str">
        <f>VLOOKUP($A68,'Pre-Assessment Estimator'!$A$10:$Z$228,P$2,FALSE)</f>
        <v>N/A</v>
      </c>
      <c r="Q68" s="577" t="str">
        <f>IF(VLOOKUP($A68,'Pre-Assessment Estimator'!$A$10:$Z$228,Q$2,FALSE)=0,"",VLOOKUP($A68,'Pre-Assessment Estimator'!$A$10:$Z$228,Q$2,FALSE))</f>
        <v/>
      </c>
      <c r="R68" s="577" t="str">
        <f>IF(VLOOKUP($A68,'Pre-Assessment Estimator'!$A$10:$Z$228,R$2,FALSE)=0,"",VLOOKUP($A68,'Pre-Assessment Estimator'!$A$10:$Z$228,R$2,FALSE))</f>
        <v/>
      </c>
      <c r="S68" s="578" t="str">
        <f>IF(VLOOKUP($A68,'Pre-Assessment Estimator'!$A$10:$Z$228,S$2,FALSE)=0,"",VLOOKUP($A68,'Pre-Assessment Estimator'!$A$10:$Z$228,S$2,FALSE))</f>
        <v/>
      </c>
      <c r="T68" s="581"/>
      <c r="U68" s="580" t="str">
        <f>IF(VLOOKUP($A68,'Pre-Assessment Estimator'!$A$10:$Z$228,U$2,FALSE)=0,"",VLOOKUP($A68,'Pre-Assessment Estimator'!$A$10:$Z$228,U$2,FALSE))</f>
        <v/>
      </c>
      <c r="V68" s="575">
        <f>VLOOKUP($A68,'Pre-Assessment Estimator'!$A$10:$Z$228,V$2,FALSE)</f>
        <v>0</v>
      </c>
      <c r="W68" s="574" t="str">
        <f>VLOOKUP($A68,'Pre-Assessment Estimator'!$A$10:$Z$228,W$2,FALSE)</f>
        <v>N/A</v>
      </c>
      <c r="X68" s="577" t="str">
        <f>IF(VLOOKUP($A68,'Pre-Assessment Estimator'!$A$10:$Z$228,X$2,FALSE)=0,"",VLOOKUP($A68,'Pre-Assessment Estimator'!$A$10:$Z$228,X$2,FALSE))</f>
        <v/>
      </c>
      <c r="Y68" s="577" t="str">
        <f>IF(VLOOKUP($A68,'Pre-Assessment Estimator'!$A$10:$Z$228,Y$2,FALSE)=0,"",VLOOKUP($A68,'Pre-Assessment Estimator'!$A$10:$Z$228,Y$2,FALSE))</f>
        <v/>
      </c>
      <c r="Z68" s="370" t="str">
        <f>IF(VLOOKUP($A68,'Pre-Assessment Estimator'!$A$10:$Z$228,Z$2,FALSE)=0,"",VLOOKUP($A68,'Pre-Assessment Estimator'!$A$10:$Z$228,Z$2,FALSE))</f>
        <v/>
      </c>
      <c r="AA68" s="696">
        <v>57</v>
      </c>
      <c r="AB68" s="577" t="str">
        <f>IF(VLOOKUP($A68,'Pre-Assessment Estimator'!$A$10:$AB$228,AB$2,FALSE)=0,"",VLOOKUP($A68,'Pre-Assessment Estimator'!$A$10:$AB$228,AB$2,FALSE))</f>
        <v/>
      </c>
      <c r="AF68" s="386">
        <f t="shared" si="0"/>
        <v>1</v>
      </c>
    </row>
    <row r="69" spans="1:32" x14ac:dyDescent="0.25">
      <c r="A69" s="823">
        <v>60</v>
      </c>
      <c r="B69" s="1234" t="s">
        <v>65</v>
      </c>
      <c r="C69" s="1234"/>
      <c r="D69" s="1257" t="str">
        <f>VLOOKUP($A69,'Pre-Assessment Estimator'!$A$10:$Z$228,D$2,FALSE)</f>
        <v>Ene 01</v>
      </c>
      <c r="E69" s="1258" t="str">
        <f>VLOOKUP($A69,'Pre-Assessment Estimator'!$A$10:$Z$228,E$2,FALSE)</f>
        <v xml:space="preserve">Low and zero carbon technologies </v>
      </c>
      <c r="F69" s="574">
        <f>VLOOKUP($A69,'Pre-Assessment Estimator'!$A$10:$Z$228,F$2,FALSE)</f>
        <v>1</v>
      </c>
      <c r="G69" s="580" t="str">
        <f>IF(VLOOKUP($A69,'Pre-Assessment Estimator'!$A$10:$Z$228,G$2,FALSE)=0,"",VLOOKUP($A69,'Pre-Assessment Estimator'!$A$10:$Z$228,G$2,FALSE))</f>
        <v/>
      </c>
      <c r="H69" s="1220">
        <f>VLOOKUP($A69,'Pre-Assessment Estimator'!$A$10:$Z$228,H$2,FALSE)</f>
        <v>0</v>
      </c>
      <c r="I69" s="576" t="str">
        <f>VLOOKUP($A69,'Pre-Assessment Estimator'!$A$10:$Z$228,I$2,FALSE)</f>
        <v>N/A</v>
      </c>
      <c r="J69" s="577" t="str">
        <f>IF(VLOOKUP($A69,'Pre-Assessment Estimator'!$A$10:$Z$228,J$2,FALSE)=0,"",VLOOKUP($A69,'Pre-Assessment Estimator'!$A$10:$Z$228,J$2,FALSE))</f>
        <v/>
      </c>
      <c r="K69" s="577" t="str">
        <f>IF(VLOOKUP($A69,'Pre-Assessment Estimator'!$A$10:$Z$228,K$2,FALSE)=0,"",VLOOKUP($A69,'Pre-Assessment Estimator'!$A$10:$Z$228,K$2,FALSE))</f>
        <v/>
      </c>
      <c r="L69" s="578" t="str">
        <f>IF(VLOOKUP($A69,'Pre-Assessment Estimator'!$A$10:$Z$228,L$2,FALSE)=0,"",VLOOKUP($A69,'Pre-Assessment Estimator'!$A$10:$Z$228,L$2,FALSE))</f>
        <v/>
      </c>
      <c r="M69" s="579"/>
      <c r="N69" s="580" t="str">
        <f>IF(VLOOKUP($A69,'Pre-Assessment Estimator'!$A$10:$Z$228,N$2,FALSE)=0,"",VLOOKUP($A69,'Pre-Assessment Estimator'!$A$10:$Z$228,N$2,FALSE))</f>
        <v/>
      </c>
      <c r="O69" s="575">
        <f>VLOOKUP($A69,'Pre-Assessment Estimator'!$A$10:$Z$228,O$2,FALSE)</f>
        <v>0</v>
      </c>
      <c r="P69" s="574" t="str">
        <f>VLOOKUP($A69,'Pre-Assessment Estimator'!$A$10:$Z$228,P$2,FALSE)</f>
        <v>N/A</v>
      </c>
      <c r="Q69" s="577" t="str">
        <f>IF(VLOOKUP($A69,'Pre-Assessment Estimator'!$A$10:$Z$228,Q$2,FALSE)=0,"",VLOOKUP($A69,'Pre-Assessment Estimator'!$A$10:$Z$228,Q$2,FALSE))</f>
        <v/>
      </c>
      <c r="R69" s="577" t="str">
        <f>IF(VLOOKUP($A69,'Pre-Assessment Estimator'!$A$10:$Z$228,R$2,FALSE)=0,"",VLOOKUP($A69,'Pre-Assessment Estimator'!$A$10:$Z$228,R$2,FALSE))</f>
        <v/>
      </c>
      <c r="S69" s="578" t="str">
        <f>IF(VLOOKUP($A69,'Pre-Assessment Estimator'!$A$10:$Z$228,S$2,FALSE)=0,"",VLOOKUP($A69,'Pre-Assessment Estimator'!$A$10:$Z$228,S$2,FALSE))</f>
        <v/>
      </c>
      <c r="T69" s="581"/>
      <c r="U69" s="580" t="str">
        <f>IF(VLOOKUP($A69,'Pre-Assessment Estimator'!$A$10:$Z$228,U$2,FALSE)=0,"",VLOOKUP($A69,'Pre-Assessment Estimator'!$A$10:$Z$228,U$2,FALSE))</f>
        <v/>
      </c>
      <c r="V69" s="575">
        <f>VLOOKUP($A69,'Pre-Assessment Estimator'!$A$10:$Z$228,V$2,FALSE)</f>
        <v>0</v>
      </c>
      <c r="W69" s="574" t="str">
        <f>VLOOKUP($A69,'Pre-Assessment Estimator'!$A$10:$Z$228,W$2,FALSE)</f>
        <v>N/A</v>
      </c>
      <c r="X69" s="577" t="str">
        <f>IF(VLOOKUP($A69,'Pre-Assessment Estimator'!$A$10:$Z$228,X$2,FALSE)=0,"",VLOOKUP($A69,'Pre-Assessment Estimator'!$A$10:$Z$228,X$2,FALSE))</f>
        <v/>
      </c>
      <c r="Y69" s="577" t="str">
        <f>IF(VLOOKUP($A69,'Pre-Assessment Estimator'!$A$10:$Z$228,Y$2,FALSE)=0,"",VLOOKUP($A69,'Pre-Assessment Estimator'!$A$10:$Z$228,Y$2,FALSE))</f>
        <v/>
      </c>
      <c r="Z69" s="370" t="str">
        <f>IF(VLOOKUP($A69,'Pre-Assessment Estimator'!$A$10:$Z$228,Z$2,FALSE)=0,"",VLOOKUP($A69,'Pre-Assessment Estimator'!$A$10:$Z$228,Z$2,FALSE))</f>
        <v/>
      </c>
      <c r="AA69" s="696">
        <v>58</v>
      </c>
      <c r="AB69" s="577" t="str">
        <f>IF(VLOOKUP($A69,'Pre-Assessment Estimator'!$A$10:$AB$228,AB$2,FALSE)=0,"",VLOOKUP($A69,'Pre-Assessment Estimator'!$A$10:$AB$228,AB$2,FALSE))</f>
        <v/>
      </c>
      <c r="AF69" s="386">
        <f t="shared" si="0"/>
        <v>1</v>
      </c>
    </row>
    <row r="70" spans="1:32" x14ac:dyDescent="0.25">
      <c r="A70" s="823">
        <v>61</v>
      </c>
      <c r="B70" s="1234" t="s">
        <v>65</v>
      </c>
      <c r="C70" s="1234"/>
      <c r="D70" s="1257" t="str">
        <f>VLOOKUP($A70,'Pre-Assessment Estimator'!$A$10:$Z$228,D$2,FALSE)</f>
        <v>Ene 01</v>
      </c>
      <c r="E70" s="1258" t="str">
        <f>VLOOKUP($A70,'Pre-Assessment Estimator'!$A$10:$Z$228,E$2,FALSE)</f>
        <v xml:space="preserve">Energy performance </v>
      </c>
      <c r="F70" s="574">
        <f>VLOOKUP($A70,'Pre-Assessment Estimator'!$A$10:$Z$228,F$2,FALSE)</f>
        <v>4</v>
      </c>
      <c r="G70" s="580" t="str">
        <f>IF(VLOOKUP($A70,'Pre-Assessment Estimator'!$A$10:$Z$228,G$2,FALSE)=0,"",VLOOKUP($A70,'Pre-Assessment Estimator'!$A$10:$Z$228,G$2,FALSE))</f>
        <v/>
      </c>
      <c r="H70" s="1220">
        <f>VLOOKUP($A70,'Pre-Assessment Estimator'!$A$10:$Z$228,H$2,FALSE)</f>
        <v>0</v>
      </c>
      <c r="I70" s="576" t="str">
        <f>VLOOKUP($A70,'Pre-Assessment Estimator'!$A$10:$Z$228,I$2,FALSE)</f>
        <v>Very Good</v>
      </c>
      <c r="J70" s="577" t="str">
        <f>IF(VLOOKUP($A70,'Pre-Assessment Estimator'!$A$10:$Z$228,J$2,FALSE)=0,"",VLOOKUP($A70,'Pre-Assessment Estimator'!$A$10:$Z$228,J$2,FALSE))</f>
        <v/>
      </c>
      <c r="K70" s="577" t="str">
        <f>IF(VLOOKUP($A70,'Pre-Assessment Estimator'!$A$10:$Z$228,K$2,FALSE)=0,"",VLOOKUP($A70,'Pre-Assessment Estimator'!$A$10:$Z$228,K$2,FALSE))</f>
        <v/>
      </c>
      <c r="L70" s="578" t="str">
        <f>IF(VLOOKUP($A70,'Pre-Assessment Estimator'!$A$10:$Z$228,L$2,FALSE)=0,"",VLOOKUP($A70,'Pre-Assessment Estimator'!$A$10:$Z$228,L$2,FALSE))</f>
        <v/>
      </c>
      <c r="M70" s="579"/>
      <c r="N70" s="580" t="str">
        <f>IF(VLOOKUP($A70,'Pre-Assessment Estimator'!$A$10:$Z$228,N$2,FALSE)=0,"",VLOOKUP($A70,'Pre-Assessment Estimator'!$A$10:$Z$228,N$2,FALSE))</f>
        <v/>
      </c>
      <c r="O70" s="575">
        <f>VLOOKUP($A70,'Pre-Assessment Estimator'!$A$10:$Z$228,O$2,FALSE)</f>
        <v>0</v>
      </c>
      <c r="P70" s="574" t="str">
        <f>VLOOKUP($A70,'Pre-Assessment Estimator'!$A$10:$Z$228,P$2,FALSE)</f>
        <v>Very Good</v>
      </c>
      <c r="Q70" s="577" t="str">
        <f>IF(VLOOKUP($A70,'Pre-Assessment Estimator'!$A$10:$Z$228,Q$2,FALSE)=0,"",VLOOKUP($A70,'Pre-Assessment Estimator'!$A$10:$Z$228,Q$2,FALSE))</f>
        <v/>
      </c>
      <c r="R70" s="577" t="str">
        <f>IF(VLOOKUP($A70,'Pre-Assessment Estimator'!$A$10:$Z$228,R$2,FALSE)=0,"",VLOOKUP($A70,'Pre-Assessment Estimator'!$A$10:$Z$228,R$2,FALSE))</f>
        <v/>
      </c>
      <c r="S70" s="578" t="str">
        <f>IF(VLOOKUP($A70,'Pre-Assessment Estimator'!$A$10:$Z$228,S$2,FALSE)=0,"",VLOOKUP($A70,'Pre-Assessment Estimator'!$A$10:$Z$228,S$2,FALSE))</f>
        <v/>
      </c>
      <c r="T70" s="581"/>
      <c r="U70" s="580" t="str">
        <f>IF(VLOOKUP($A70,'Pre-Assessment Estimator'!$A$10:$Z$228,U$2,FALSE)=0,"",VLOOKUP($A70,'Pre-Assessment Estimator'!$A$10:$Z$228,U$2,FALSE))</f>
        <v/>
      </c>
      <c r="V70" s="575">
        <f>VLOOKUP($A70,'Pre-Assessment Estimator'!$A$10:$Z$228,V$2,FALSE)</f>
        <v>0</v>
      </c>
      <c r="W70" s="574" t="str">
        <f>VLOOKUP($A70,'Pre-Assessment Estimator'!$A$10:$Z$228,W$2,FALSE)</f>
        <v>Very Good</v>
      </c>
      <c r="X70" s="577" t="str">
        <f>IF(VLOOKUP($A70,'Pre-Assessment Estimator'!$A$10:$Z$228,X$2,FALSE)=0,"",VLOOKUP($A70,'Pre-Assessment Estimator'!$A$10:$Z$228,X$2,FALSE))</f>
        <v/>
      </c>
      <c r="Y70" s="577" t="str">
        <f>IF(VLOOKUP($A70,'Pre-Assessment Estimator'!$A$10:$Z$228,Y$2,FALSE)=0,"",VLOOKUP($A70,'Pre-Assessment Estimator'!$A$10:$Z$228,Y$2,FALSE))</f>
        <v/>
      </c>
      <c r="Z70" s="370" t="str">
        <f>IF(VLOOKUP($A70,'Pre-Assessment Estimator'!$A$10:$Z$228,Z$2,FALSE)=0,"",VLOOKUP($A70,'Pre-Assessment Estimator'!$A$10:$Z$228,Z$2,FALSE))</f>
        <v/>
      </c>
      <c r="AA70" s="696">
        <v>59</v>
      </c>
      <c r="AB70" s="577"/>
      <c r="AF70" s="386">
        <f t="shared" si="0"/>
        <v>1</v>
      </c>
    </row>
    <row r="71" spans="1:32" x14ac:dyDescent="0.25">
      <c r="A71" s="823">
        <v>62</v>
      </c>
      <c r="B71" s="1234" t="s">
        <v>65</v>
      </c>
      <c r="C71" s="1234"/>
      <c r="D71" s="1257" t="str">
        <f>VLOOKUP($A71,'Pre-Assessment Estimator'!$A$10:$Z$228,D$2,FALSE)</f>
        <v>Ene 01</v>
      </c>
      <c r="E71" s="1260" t="str">
        <f>VLOOKUP($A71,'Pre-Assessment Estimator'!$A$10:$Z$228,E$2,FALSE)</f>
        <v>EU taxonomy requirements: criterion 9 and 10</v>
      </c>
      <c r="F71" s="574" t="str">
        <f>VLOOKUP($A71,'Pre-Assessment Estimator'!$A$10:$Z$228,F$2,FALSE)</f>
        <v>Yes/No</v>
      </c>
      <c r="G71" s="580" t="str">
        <f>IF(VLOOKUP($A71,'Pre-Assessment Estimator'!$A$10:$Z$228,G$2,FALSE)=0,"",VLOOKUP($A71,'Pre-Assessment Estimator'!$A$10:$Z$228,G$2,FALSE))</f>
        <v/>
      </c>
      <c r="H71" s="1220" t="str">
        <f>VLOOKUP($A71,'Pre-Assessment Estimator'!$A$10:$Z$228,H$2,FALSE)</f>
        <v>-</v>
      </c>
      <c r="I71" s="576" t="str">
        <f>VLOOKUP($A71,'Pre-Assessment Estimator'!$A$10:$Z$228,I$2,FALSE)</f>
        <v>N/A</v>
      </c>
      <c r="J71" s="577" t="str">
        <f>IF(VLOOKUP($A71,'Pre-Assessment Estimator'!$A$10:$Z$228,J$2,FALSE)=0,"",VLOOKUP($A71,'Pre-Assessment Estimator'!$A$10:$Z$228,J$2,FALSE))</f>
        <v/>
      </c>
      <c r="K71" s="577" t="str">
        <f>IF(VLOOKUP($A71,'Pre-Assessment Estimator'!$A$10:$Z$228,K$2,FALSE)=0,"",VLOOKUP($A71,'Pre-Assessment Estimator'!$A$10:$Z$228,K$2,FALSE))</f>
        <v/>
      </c>
      <c r="L71" s="578" t="str">
        <f>IF(VLOOKUP($A71,'Pre-Assessment Estimator'!$A$10:$Z$228,L$2,FALSE)=0,"",VLOOKUP($A71,'Pre-Assessment Estimator'!$A$10:$Z$228,L$2,FALSE))</f>
        <v/>
      </c>
      <c r="M71" s="579"/>
      <c r="N71" s="580" t="str">
        <f>IF(VLOOKUP($A71,'Pre-Assessment Estimator'!$A$10:$Z$228,N$2,FALSE)=0,"",VLOOKUP($A71,'Pre-Assessment Estimator'!$A$10:$Z$228,N$2,FALSE))</f>
        <v/>
      </c>
      <c r="O71" s="575" t="str">
        <f>VLOOKUP($A71,'Pre-Assessment Estimator'!$A$10:$Z$228,O$2,FALSE)</f>
        <v>-</v>
      </c>
      <c r="P71" s="574" t="str">
        <f>VLOOKUP($A71,'Pre-Assessment Estimator'!$A$10:$Z$228,P$2,FALSE)</f>
        <v>N/A</v>
      </c>
      <c r="Q71" s="577" t="str">
        <f>IF(VLOOKUP($A71,'Pre-Assessment Estimator'!$A$10:$Z$228,Q$2,FALSE)=0,"",VLOOKUP($A71,'Pre-Assessment Estimator'!$A$10:$Z$228,Q$2,FALSE))</f>
        <v/>
      </c>
      <c r="R71" s="577" t="str">
        <f>IF(VLOOKUP($A71,'Pre-Assessment Estimator'!$A$10:$Z$228,R$2,FALSE)=0,"",VLOOKUP($A71,'Pre-Assessment Estimator'!$A$10:$Z$228,R$2,FALSE))</f>
        <v/>
      </c>
      <c r="S71" s="578" t="str">
        <f>IF(VLOOKUP($A71,'Pre-Assessment Estimator'!$A$10:$Z$228,S$2,FALSE)=0,"",VLOOKUP($A71,'Pre-Assessment Estimator'!$A$10:$Z$228,S$2,FALSE))</f>
        <v/>
      </c>
      <c r="T71" s="581"/>
      <c r="U71" s="580" t="str">
        <f>IF(VLOOKUP($A71,'Pre-Assessment Estimator'!$A$10:$Z$228,U$2,FALSE)=0,"",VLOOKUP($A71,'Pre-Assessment Estimator'!$A$10:$Z$228,U$2,FALSE))</f>
        <v/>
      </c>
      <c r="V71" s="575" t="str">
        <f>VLOOKUP($A71,'Pre-Assessment Estimator'!$A$10:$Z$228,V$2,FALSE)</f>
        <v>-</v>
      </c>
      <c r="W71" s="574" t="str">
        <f>VLOOKUP($A71,'Pre-Assessment Estimator'!$A$10:$Z$228,W$2,FALSE)</f>
        <v>N/A</v>
      </c>
      <c r="X71" s="577" t="str">
        <f>IF(VLOOKUP($A71,'Pre-Assessment Estimator'!$A$10:$Z$228,X$2,FALSE)=0,"",VLOOKUP($A71,'Pre-Assessment Estimator'!$A$10:$Z$228,X$2,FALSE))</f>
        <v/>
      </c>
      <c r="Y71" s="577" t="str">
        <f>IF(VLOOKUP($A71,'Pre-Assessment Estimator'!$A$10:$Z$228,Y$2,FALSE)=0,"",VLOOKUP($A71,'Pre-Assessment Estimator'!$A$10:$Z$228,Y$2,FALSE))</f>
        <v/>
      </c>
      <c r="Z71" s="370" t="str">
        <f>IF(VLOOKUP($A71,'Pre-Assessment Estimator'!$A$10:$Z$228,Z$2,FALSE)=0,"",VLOOKUP($A71,'Pre-Assessment Estimator'!$A$10:$Z$228,Z$2,FALSE))</f>
        <v/>
      </c>
      <c r="AA71" s="696">
        <v>60</v>
      </c>
      <c r="AB71" s="577"/>
      <c r="AF71" s="386">
        <f t="shared" si="0"/>
        <v>1</v>
      </c>
    </row>
    <row r="72" spans="1:32" x14ac:dyDescent="0.25">
      <c r="A72" s="823">
        <v>63</v>
      </c>
      <c r="B72" s="1234" t="s">
        <v>65</v>
      </c>
      <c r="C72" s="1234"/>
      <c r="D72" s="1257" t="str">
        <f>VLOOKUP($A72,'Pre-Assessment Estimator'!$A$10:$Z$228,D$2,FALSE)</f>
        <v>Ene 01</v>
      </c>
      <c r="E72" s="1258" t="str">
        <f>VLOOKUP($A72,'Pre-Assessment Estimator'!$A$10:$Z$228,E$2,FALSE)</f>
        <v>Adaptation to EU taxonomy</v>
      </c>
      <c r="F72" s="574">
        <f>VLOOKUP($A72,'Pre-Assessment Estimator'!$A$10:$Z$228,F$2,FALSE)</f>
        <v>1</v>
      </c>
      <c r="G72" s="580" t="str">
        <f>IF(VLOOKUP($A72,'Pre-Assessment Estimator'!$A$10:$Z$228,G$2,FALSE)=0,"",VLOOKUP($A72,'Pre-Assessment Estimator'!$A$10:$Z$228,G$2,FALSE))</f>
        <v/>
      </c>
      <c r="H72" s="1220">
        <f>VLOOKUP($A72,'Pre-Assessment Estimator'!$A$10:$Z$228,H$2,FALSE)</f>
        <v>0</v>
      </c>
      <c r="I72" s="576" t="str">
        <f>VLOOKUP($A72,'Pre-Assessment Estimator'!$A$10:$Z$228,I$2,FALSE)</f>
        <v>Very Good</v>
      </c>
      <c r="J72" s="577" t="str">
        <f>IF(VLOOKUP($A72,'Pre-Assessment Estimator'!$A$10:$Z$228,J$2,FALSE)=0,"",VLOOKUP($A72,'Pre-Assessment Estimator'!$A$10:$Z$228,J$2,FALSE))</f>
        <v/>
      </c>
      <c r="K72" s="577" t="str">
        <f>IF(VLOOKUP($A72,'Pre-Assessment Estimator'!$A$10:$Z$228,K$2,FALSE)=0,"",VLOOKUP($A72,'Pre-Assessment Estimator'!$A$10:$Z$228,K$2,FALSE))</f>
        <v/>
      </c>
      <c r="L72" s="578" t="str">
        <f>IF(VLOOKUP($A72,'Pre-Assessment Estimator'!$A$10:$Z$228,L$2,FALSE)=0,"",VLOOKUP($A72,'Pre-Assessment Estimator'!$A$10:$Z$228,L$2,FALSE))</f>
        <v/>
      </c>
      <c r="M72" s="579"/>
      <c r="N72" s="580" t="str">
        <f>IF(VLOOKUP($A72,'Pre-Assessment Estimator'!$A$10:$Z$228,N$2,FALSE)=0,"",VLOOKUP($A72,'Pre-Assessment Estimator'!$A$10:$Z$228,N$2,FALSE))</f>
        <v/>
      </c>
      <c r="O72" s="575">
        <f>VLOOKUP($A72,'Pre-Assessment Estimator'!$A$10:$Z$228,O$2,FALSE)</f>
        <v>0</v>
      </c>
      <c r="P72" s="574" t="str">
        <f>VLOOKUP($A72,'Pre-Assessment Estimator'!$A$10:$Z$228,P$2,FALSE)</f>
        <v>Very Good</v>
      </c>
      <c r="Q72" s="577" t="str">
        <f>IF(VLOOKUP($A72,'Pre-Assessment Estimator'!$A$10:$Z$228,Q$2,FALSE)=0,"",VLOOKUP($A72,'Pre-Assessment Estimator'!$A$10:$Z$228,Q$2,FALSE))</f>
        <v/>
      </c>
      <c r="R72" s="577" t="str">
        <f>IF(VLOOKUP($A72,'Pre-Assessment Estimator'!$A$10:$Z$228,R$2,FALSE)=0,"",VLOOKUP($A72,'Pre-Assessment Estimator'!$A$10:$Z$228,R$2,FALSE))</f>
        <v/>
      </c>
      <c r="S72" s="578" t="str">
        <f>IF(VLOOKUP($A72,'Pre-Assessment Estimator'!$A$10:$Z$228,S$2,FALSE)=0,"",VLOOKUP($A72,'Pre-Assessment Estimator'!$A$10:$Z$228,S$2,FALSE))</f>
        <v/>
      </c>
      <c r="T72" s="581"/>
      <c r="U72" s="580" t="str">
        <f>IF(VLOOKUP($A72,'Pre-Assessment Estimator'!$A$10:$Z$228,U$2,FALSE)=0,"",VLOOKUP($A72,'Pre-Assessment Estimator'!$A$10:$Z$228,U$2,FALSE))</f>
        <v/>
      </c>
      <c r="V72" s="575">
        <f>VLOOKUP($A72,'Pre-Assessment Estimator'!$A$10:$Z$228,V$2,FALSE)</f>
        <v>0</v>
      </c>
      <c r="W72" s="574" t="str">
        <f>VLOOKUP($A72,'Pre-Assessment Estimator'!$A$10:$Z$228,W$2,FALSE)</f>
        <v>Very Good</v>
      </c>
      <c r="X72" s="577" t="str">
        <f>IF(VLOOKUP($A72,'Pre-Assessment Estimator'!$A$10:$Z$228,X$2,FALSE)=0,"",VLOOKUP($A72,'Pre-Assessment Estimator'!$A$10:$Z$228,X$2,FALSE))</f>
        <v/>
      </c>
      <c r="Y72" s="577" t="str">
        <f>IF(VLOOKUP($A72,'Pre-Assessment Estimator'!$A$10:$Z$228,Y$2,FALSE)=0,"",VLOOKUP($A72,'Pre-Assessment Estimator'!$A$10:$Z$228,Y$2,FALSE))</f>
        <v/>
      </c>
      <c r="Z72" s="370" t="str">
        <f>IF(VLOOKUP($A72,'Pre-Assessment Estimator'!$A$10:$Z$228,Z$2,FALSE)=0,"",VLOOKUP($A72,'Pre-Assessment Estimator'!$A$10:$Z$228,Z$2,FALSE))</f>
        <v/>
      </c>
      <c r="AA72" s="696">
        <v>61</v>
      </c>
      <c r="AB72" s="577"/>
    </row>
    <row r="73" spans="1:32" x14ac:dyDescent="0.25">
      <c r="A73" s="823">
        <v>64</v>
      </c>
      <c r="B73" s="1234" t="s">
        <v>65</v>
      </c>
      <c r="C73" s="1234"/>
      <c r="D73" s="1257" t="str">
        <f>VLOOKUP($A73,'Pre-Assessment Estimator'!$A$10:$Z$228,D$2,FALSE)</f>
        <v>Ene 01</v>
      </c>
      <c r="E73" s="1260" t="str">
        <f>VLOOKUP($A73,'Pre-Assessment Estimator'!$A$10:$Z$228,E$2,FALSE)</f>
        <v>EU taxonomy requirements: criterion 12</v>
      </c>
      <c r="F73" s="574" t="str">
        <f>VLOOKUP($A73,'Pre-Assessment Estimator'!$A$10:$Z$228,F$2,FALSE)</f>
        <v>Yes/No</v>
      </c>
      <c r="G73" s="580" t="str">
        <f>IF(VLOOKUP($A73,'Pre-Assessment Estimator'!$A$10:$Z$228,G$2,FALSE)=0,"",VLOOKUP($A73,'Pre-Assessment Estimator'!$A$10:$Z$228,G$2,FALSE))</f>
        <v/>
      </c>
      <c r="H73" s="1220" t="str">
        <f>VLOOKUP($A73,'Pre-Assessment Estimator'!$A$10:$Z$228,H$2,FALSE)</f>
        <v>-</v>
      </c>
      <c r="I73" s="576" t="str">
        <f>VLOOKUP($A73,'Pre-Assessment Estimator'!$A$10:$Z$228,I$2,FALSE)</f>
        <v>N/A</v>
      </c>
      <c r="J73" s="577" t="str">
        <f>IF(VLOOKUP($A73,'Pre-Assessment Estimator'!$A$10:$Z$228,J$2,FALSE)=0,"",VLOOKUP($A73,'Pre-Assessment Estimator'!$A$10:$Z$228,J$2,FALSE))</f>
        <v/>
      </c>
      <c r="K73" s="577" t="str">
        <f>IF(VLOOKUP($A73,'Pre-Assessment Estimator'!$A$10:$Z$228,K$2,FALSE)=0,"",VLOOKUP($A73,'Pre-Assessment Estimator'!$A$10:$Z$228,K$2,FALSE))</f>
        <v/>
      </c>
      <c r="L73" s="578" t="str">
        <f>IF(VLOOKUP($A73,'Pre-Assessment Estimator'!$A$10:$Z$228,L$2,FALSE)=0,"",VLOOKUP($A73,'Pre-Assessment Estimator'!$A$10:$Z$228,L$2,FALSE))</f>
        <v/>
      </c>
      <c r="M73" s="579"/>
      <c r="N73" s="580" t="str">
        <f>IF(VLOOKUP($A73,'Pre-Assessment Estimator'!$A$10:$Z$228,N$2,FALSE)=0,"",VLOOKUP($A73,'Pre-Assessment Estimator'!$A$10:$Z$228,N$2,FALSE))</f>
        <v/>
      </c>
      <c r="O73" s="575" t="str">
        <f>VLOOKUP($A73,'Pre-Assessment Estimator'!$A$10:$Z$228,O$2,FALSE)</f>
        <v>-</v>
      </c>
      <c r="P73" s="574" t="str">
        <f>VLOOKUP($A73,'Pre-Assessment Estimator'!$A$10:$Z$228,P$2,FALSE)</f>
        <v>N/A</v>
      </c>
      <c r="Q73" s="577" t="str">
        <f>IF(VLOOKUP($A73,'Pre-Assessment Estimator'!$A$10:$Z$228,Q$2,FALSE)=0,"",VLOOKUP($A73,'Pre-Assessment Estimator'!$A$10:$Z$228,Q$2,FALSE))</f>
        <v/>
      </c>
      <c r="R73" s="577" t="str">
        <f>IF(VLOOKUP($A73,'Pre-Assessment Estimator'!$A$10:$Z$228,R$2,FALSE)=0,"",VLOOKUP($A73,'Pre-Assessment Estimator'!$A$10:$Z$228,R$2,FALSE))</f>
        <v/>
      </c>
      <c r="S73" s="578" t="str">
        <f>IF(VLOOKUP($A73,'Pre-Assessment Estimator'!$A$10:$Z$228,S$2,FALSE)=0,"",VLOOKUP($A73,'Pre-Assessment Estimator'!$A$10:$Z$228,S$2,FALSE))</f>
        <v/>
      </c>
      <c r="T73" s="581"/>
      <c r="U73" s="580" t="str">
        <f>IF(VLOOKUP($A73,'Pre-Assessment Estimator'!$A$10:$Z$228,U$2,FALSE)=0,"",VLOOKUP($A73,'Pre-Assessment Estimator'!$A$10:$Z$228,U$2,FALSE))</f>
        <v/>
      </c>
      <c r="V73" s="575" t="str">
        <f>VLOOKUP($A73,'Pre-Assessment Estimator'!$A$10:$Z$228,V$2,FALSE)</f>
        <v>-</v>
      </c>
      <c r="W73" s="574" t="str">
        <f>VLOOKUP($A73,'Pre-Assessment Estimator'!$A$10:$Z$228,W$2,FALSE)</f>
        <v>N/A</v>
      </c>
      <c r="X73" s="577" t="str">
        <f>IF(VLOOKUP($A73,'Pre-Assessment Estimator'!$A$10:$Z$228,X$2,FALSE)=0,"",VLOOKUP($A73,'Pre-Assessment Estimator'!$A$10:$Z$228,X$2,FALSE))</f>
        <v/>
      </c>
      <c r="Y73" s="577" t="str">
        <f>IF(VLOOKUP($A73,'Pre-Assessment Estimator'!$A$10:$Z$228,Y$2,FALSE)=0,"",VLOOKUP($A73,'Pre-Assessment Estimator'!$A$10:$Z$228,Y$2,FALSE))</f>
        <v/>
      </c>
      <c r="Z73" s="370" t="str">
        <f>IF(VLOOKUP($A73,'Pre-Assessment Estimator'!$A$10:$Z$228,Z$2,FALSE)=0,"",VLOOKUP($A73,'Pre-Assessment Estimator'!$A$10:$Z$228,Z$2,FALSE))</f>
        <v/>
      </c>
      <c r="AA73" s="696">
        <v>61</v>
      </c>
      <c r="AB73" s="577"/>
    </row>
    <row r="74" spans="1:32" x14ac:dyDescent="0.25">
      <c r="A74" s="823">
        <v>65</v>
      </c>
      <c r="B74" s="1234" t="s">
        <v>65</v>
      </c>
      <c r="C74" s="1234"/>
      <c r="D74" s="1257" t="str">
        <f>VLOOKUP($A74,'Pre-Assessment Estimator'!$A$10:$Z$228,D$2,FALSE)</f>
        <v>Ene 01</v>
      </c>
      <c r="E74" s="1258" t="str">
        <f>VLOOKUP($A74,'Pre-Assessment Estimator'!$A$10:$Z$228,E$2,FALSE)</f>
        <v xml:space="preserve">Prediction of operational energy consumption </v>
      </c>
      <c r="F74" s="574">
        <f>VLOOKUP($A74,'Pre-Assessment Estimator'!$A$10:$Z$228,F$2,FALSE)</f>
        <v>4</v>
      </c>
      <c r="G74" s="580" t="str">
        <f>IF(VLOOKUP($A74,'Pre-Assessment Estimator'!$A$10:$Z$228,G$2,FALSE)=0,"",VLOOKUP($A74,'Pre-Assessment Estimator'!$A$10:$Z$228,G$2,FALSE))</f>
        <v/>
      </c>
      <c r="H74" s="1220">
        <f>VLOOKUP($A74,'Pre-Assessment Estimator'!$A$10:$Z$228,H$2,FALSE)</f>
        <v>0</v>
      </c>
      <c r="I74" s="576" t="str">
        <f>VLOOKUP($A74,'Pre-Assessment Estimator'!$A$10:$Z$228,I$2,FALSE)</f>
        <v>N/A</v>
      </c>
      <c r="J74" s="577" t="str">
        <f>IF(VLOOKUP($A74,'Pre-Assessment Estimator'!$A$10:$Z$228,J$2,FALSE)=0,"",VLOOKUP($A74,'Pre-Assessment Estimator'!$A$10:$Z$228,J$2,FALSE))</f>
        <v/>
      </c>
      <c r="K74" s="577" t="str">
        <f>IF(VLOOKUP($A74,'Pre-Assessment Estimator'!$A$10:$Z$228,K$2,FALSE)=0,"",VLOOKUP($A74,'Pre-Assessment Estimator'!$A$10:$Z$228,K$2,FALSE))</f>
        <v/>
      </c>
      <c r="L74" s="578" t="str">
        <f>IF(VLOOKUP($A74,'Pre-Assessment Estimator'!$A$10:$Z$228,L$2,FALSE)=0,"",VLOOKUP($A74,'Pre-Assessment Estimator'!$A$10:$Z$228,L$2,FALSE))</f>
        <v/>
      </c>
      <c r="M74" s="579"/>
      <c r="N74" s="580" t="str">
        <f>IF(VLOOKUP($A74,'Pre-Assessment Estimator'!$A$10:$Z$228,N$2,FALSE)=0,"",VLOOKUP($A74,'Pre-Assessment Estimator'!$A$10:$Z$228,N$2,FALSE))</f>
        <v/>
      </c>
      <c r="O74" s="575">
        <f>VLOOKUP($A74,'Pre-Assessment Estimator'!$A$10:$Z$228,O$2,FALSE)</f>
        <v>0</v>
      </c>
      <c r="P74" s="574" t="str">
        <f>VLOOKUP($A74,'Pre-Assessment Estimator'!$A$10:$Z$228,P$2,FALSE)</f>
        <v>N/A</v>
      </c>
      <c r="Q74" s="577" t="str">
        <f>IF(VLOOKUP($A74,'Pre-Assessment Estimator'!$A$10:$Z$228,Q$2,FALSE)=0,"",VLOOKUP($A74,'Pre-Assessment Estimator'!$A$10:$Z$228,Q$2,FALSE))</f>
        <v/>
      </c>
      <c r="R74" s="577" t="str">
        <f>IF(VLOOKUP($A74,'Pre-Assessment Estimator'!$A$10:$Z$228,R$2,FALSE)=0,"",VLOOKUP($A74,'Pre-Assessment Estimator'!$A$10:$Z$228,R$2,FALSE))</f>
        <v/>
      </c>
      <c r="S74" s="578" t="str">
        <f>IF(VLOOKUP($A74,'Pre-Assessment Estimator'!$A$10:$Z$228,S$2,FALSE)=0,"",VLOOKUP($A74,'Pre-Assessment Estimator'!$A$10:$Z$228,S$2,FALSE))</f>
        <v/>
      </c>
      <c r="T74" s="581"/>
      <c r="U74" s="580" t="str">
        <f>IF(VLOOKUP($A74,'Pre-Assessment Estimator'!$A$10:$Z$228,U$2,FALSE)=0,"",VLOOKUP($A74,'Pre-Assessment Estimator'!$A$10:$Z$228,U$2,FALSE))</f>
        <v/>
      </c>
      <c r="V74" s="575">
        <f>VLOOKUP($A74,'Pre-Assessment Estimator'!$A$10:$Z$228,V$2,FALSE)</f>
        <v>0</v>
      </c>
      <c r="W74" s="574" t="str">
        <f>VLOOKUP($A74,'Pre-Assessment Estimator'!$A$10:$Z$228,W$2,FALSE)</f>
        <v>N/A</v>
      </c>
      <c r="X74" s="577" t="str">
        <f>IF(VLOOKUP($A74,'Pre-Assessment Estimator'!$A$10:$Z$228,X$2,FALSE)=0,"",VLOOKUP($A74,'Pre-Assessment Estimator'!$A$10:$Z$228,X$2,FALSE))</f>
        <v/>
      </c>
      <c r="Y74" s="577" t="str">
        <f>IF(VLOOKUP($A74,'Pre-Assessment Estimator'!$A$10:$Z$228,Y$2,FALSE)=0,"",VLOOKUP($A74,'Pre-Assessment Estimator'!$A$10:$Z$228,Y$2,FALSE))</f>
        <v/>
      </c>
      <c r="Z74" s="370" t="str">
        <f>IF(VLOOKUP($A74,'Pre-Assessment Estimator'!$A$10:$Z$228,Z$2,FALSE)=0,"",VLOOKUP($A74,'Pre-Assessment Estimator'!$A$10:$Z$228,Z$2,FALSE))</f>
        <v/>
      </c>
      <c r="AA74" s="696">
        <v>62</v>
      </c>
      <c r="AB74" s="577"/>
      <c r="AF74" s="386">
        <f t="shared" si="0"/>
        <v>1</v>
      </c>
    </row>
    <row r="75" spans="1:32" x14ac:dyDescent="0.25">
      <c r="A75" s="823">
        <v>66</v>
      </c>
      <c r="B75" s="1234" t="s">
        <v>65</v>
      </c>
      <c r="C75" s="1234"/>
      <c r="D75" s="1256" t="str">
        <f>VLOOKUP($A75,'Pre-Assessment Estimator'!$A$10:$Z$228,D$2,FALSE)</f>
        <v>Ene 02</v>
      </c>
      <c r="E75" s="1256" t="str">
        <f>VLOOKUP($A75,'Pre-Assessment Estimator'!$A$10:$Z$228,E$2,FALSE)</f>
        <v>Ene 02 Energy monitoring</v>
      </c>
      <c r="F75" s="574">
        <f>VLOOKUP($A75,'Pre-Assessment Estimator'!$A$10:$Z$228,F$2,FALSE)</f>
        <v>2</v>
      </c>
      <c r="G75" s="580" t="str">
        <f>IF(VLOOKUP($A75,'Pre-Assessment Estimator'!$A$10:$Z$228,G$2,FALSE)=0,"",VLOOKUP($A75,'Pre-Assessment Estimator'!$A$10:$Z$228,G$2,FALSE))</f>
        <v/>
      </c>
      <c r="H75" s="1220" t="str">
        <f>VLOOKUP($A75,'Pre-Assessment Estimator'!$A$10:$Z$228,H$2,FALSE)</f>
        <v>0 c. 0 %</v>
      </c>
      <c r="I75" s="576" t="str">
        <f>VLOOKUP($A75,'Pre-Assessment Estimator'!$A$10:$Z$228,I$2,FALSE)</f>
        <v>N/A</v>
      </c>
      <c r="J75" s="577" t="str">
        <f>IF(VLOOKUP($A75,'Pre-Assessment Estimator'!$A$10:$Z$228,J$2,FALSE)=0,"",VLOOKUP($A75,'Pre-Assessment Estimator'!$A$10:$Z$228,J$2,FALSE))</f>
        <v/>
      </c>
      <c r="K75" s="577" t="str">
        <f>IF(VLOOKUP($A75,'Pre-Assessment Estimator'!$A$10:$Z$228,K$2,FALSE)=0,"",VLOOKUP($A75,'Pre-Assessment Estimator'!$A$10:$Z$228,K$2,FALSE))</f>
        <v/>
      </c>
      <c r="L75" s="578" t="str">
        <f>IF(VLOOKUP($A75,'Pre-Assessment Estimator'!$A$10:$Z$228,L$2,FALSE)=0,"",VLOOKUP($A75,'Pre-Assessment Estimator'!$A$10:$Z$228,L$2,FALSE))</f>
        <v/>
      </c>
      <c r="M75" s="579"/>
      <c r="N75" s="580" t="str">
        <f>IF(VLOOKUP($A75,'Pre-Assessment Estimator'!$A$10:$Z$228,N$2,FALSE)=0,"",VLOOKUP($A75,'Pre-Assessment Estimator'!$A$10:$Z$228,N$2,FALSE))</f>
        <v/>
      </c>
      <c r="O75" s="575" t="str">
        <f>VLOOKUP($A75,'Pre-Assessment Estimator'!$A$10:$Z$228,O$2,FALSE)</f>
        <v>0 c. 0 %</v>
      </c>
      <c r="P75" s="574" t="str">
        <f>VLOOKUP($A75,'Pre-Assessment Estimator'!$A$10:$Z$228,P$2,FALSE)</f>
        <v>N/A</v>
      </c>
      <c r="Q75" s="577" t="str">
        <f>IF(VLOOKUP($A75,'Pre-Assessment Estimator'!$A$10:$Z$228,Q$2,FALSE)=0,"",VLOOKUP($A75,'Pre-Assessment Estimator'!$A$10:$Z$228,Q$2,FALSE))</f>
        <v/>
      </c>
      <c r="R75" s="577" t="str">
        <f>IF(VLOOKUP($A75,'Pre-Assessment Estimator'!$A$10:$Z$228,R$2,FALSE)=0,"",VLOOKUP($A75,'Pre-Assessment Estimator'!$A$10:$Z$228,R$2,FALSE))</f>
        <v/>
      </c>
      <c r="S75" s="578" t="str">
        <f>IF(VLOOKUP($A75,'Pre-Assessment Estimator'!$A$10:$Z$228,S$2,FALSE)=0,"",VLOOKUP($A75,'Pre-Assessment Estimator'!$A$10:$Z$228,S$2,FALSE))</f>
        <v/>
      </c>
      <c r="T75" s="581"/>
      <c r="U75" s="580" t="str">
        <f>IF(VLOOKUP($A75,'Pre-Assessment Estimator'!$A$10:$Z$228,U$2,FALSE)=0,"",VLOOKUP($A75,'Pre-Assessment Estimator'!$A$10:$Z$228,U$2,FALSE))</f>
        <v/>
      </c>
      <c r="V75" s="575" t="str">
        <f>VLOOKUP($A75,'Pre-Assessment Estimator'!$A$10:$Z$228,V$2,FALSE)</f>
        <v>0 c. 0 %</v>
      </c>
      <c r="W75" s="574" t="str">
        <f>VLOOKUP($A75,'Pre-Assessment Estimator'!$A$10:$Z$228,W$2,FALSE)</f>
        <v>N/A</v>
      </c>
      <c r="X75" s="577" t="str">
        <f>IF(VLOOKUP($A75,'Pre-Assessment Estimator'!$A$10:$Z$228,X$2,FALSE)=0,"",VLOOKUP($A75,'Pre-Assessment Estimator'!$A$10:$Z$228,X$2,FALSE))</f>
        <v/>
      </c>
      <c r="Y75" s="577" t="str">
        <f>IF(VLOOKUP($A75,'Pre-Assessment Estimator'!$A$10:$Z$228,Y$2,FALSE)=0,"",VLOOKUP($A75,'Pre-Assessment Estimator'!$A$10:$Z$228,Y$2,FALSE))</f>
        <v/>
      </c>
      <c r="Z75" s="370" t="str">
        <f>IF(VLOOKUP($A75,'Pre-Assessment Estimator'!$A$10:$Z$228,Z$2,FALSE)=0,"",VLOOKUP($A75,'Pre-Assessment Estimator'!$A$10:$Z$228,Z$2,FALSE))</f>
        <v/>
      </c>
      <c r="AA75" s="696">
        <v>63</v>
      </c>
      <c r="AB75" s="577"/>
      <c r="AF75" s="386">
        <f t="shared" si="0"/>
        <v>1</v>
      </c>
    </row>
    <row r="76" spans="1:32" x14ac:dyDescent="0.25">
      <c r="A76" s="823">
        <v>67</v>
      </c>
      <c r="B76" s="1234" t="s">
        <v>65</v>
      </c>
      <c r="C76" s="1234"/>
      <c r="D76" s="1257" t="str">
        <f>VLOOKUP($A76,'Pre-Assessment Estimator'!$A$10:$Z$228,D$2,FALSE)</f>
        <v>Ene 02</v>
      </c>
      <c r="E76" s="1258" t="str">
        <f>VLOOKUP($A76,'Pre-Assessment Estimator'!$A$10:$Z$228,E$2,FALSE)</f>
        <v xml:space="preserve">Sub-metering of end-use categories </v>
      </c>
      <c r="F76" s="574">
        <f>VLOOKUP($A76,'Pre-Assessment Estimator'!$A$10:$Z$228,F$2,FALSE)</f>
        <v>1</v>
      </c>
      <c r="G76" s="580" t="str">
        <f>IF(VLOOKUP($A76,'Pre-Assessment Estimator'!$A$10:$Z$228,G$2,FALSE)=0,"",VLOOKUP($A76,'Pre-Assessment Estimator'!$A$10:$Z$228,G$2,FALSE))</f>
        <v/>
      </c>
      <c r="H76" s="1220">
        <f>VLOOKUP($A76,'Pre-Assessment Estimator'!$A$10:$Z$228,H$2,FALSE)</f>
        <v>0</v>
      </c>
      <c r="I76" s="576" t="str">
        <f>VLOOKUP($A76,'Pre-Assessment Estimator'!$A$10:$Z$228,I$2,FALSE)</f>
        <v>N/A</v>
      </c>
      <c r="J76" s="577" t="str">
        <f>IF(VLOOKUP($A76,'Pre-Assessment Estimator'!$A$10:$Z$228,J$2,FALSE)=0,"",VLOOKUP($A76,'Pre-Assessment Estimator'!$A$10:$Z$228,J$2,FALSE))</f>
        <v/>
      </c>
      <c r="K76" s="577" t="str">
        <f>IF(VLOOKUP($A76,'Pre-Assessment Estimator'!$A$10:$Z$228,K$2,FALSE)=0,"",VLOOKUP($A76,'Pre-Assessment Estimator'!$A$10:$Z$228,K$2,FALSE))</f>
        <v/>
      </c>
      <c r="L76" s="578" t="str">
        <f>IF(VLOOKUP($A76,'Pre-Assessment Estimator'!$A$10:$Z$228,L$2,FALSE)=0,"",VLOOKUP($A76,'Pre-Assessment Estimator'!$A$10:$Z$228,L$2,FALSE))</f>
        <v/>
      </c>
      <c r="M76" s="579"/>
      <c r="N76" s="580" t="str">
        <f>IF(VLOOKUP($A76,'Pre-Assessment Estimator'!$A$10:$Z$228,N$2,FALSE)=0,"",VLOOKUP($A76,'Pre-Assessment Estimator'!$A$10:$Z$228,N$2,FALSE))</f>
        <v/>
      </c>
      <c r="O76" s="575">
        <f>VLOOKUP($A76,'Pre-Assessment Estimator'!$A$10:$Z$228,O$2,FALSE)</f>
        <v>0</v>
      </c>
      <c r="P76" s="574" t="str">
        <f>VLOOKUP($A76,'Pre-Assessment Estimator'!$A$10:$Z$228,P$2,FALSE)</f>
        <v>N/A</v>
      </c>
      <c r="Q76" s="577" t="str">
        <f>IF(VLOOKUP($A76,'Pre-Assessment Estimator'!$A$10:$Z$228,Q$2,FALSE)=0,"",VLOOKUP($A76,'Pre-Assessment Estimator'!$A$10:$Z$228,Q$2,FALSE))</f>
        <v/>
      </c>
      <c r="R76" s="577" t="str">
        <f>IF(VLOOKUP($A76,'Pre-Assessment Estimator'!$A$10:$Z$228,R$2,FALSE)=0,"",VLOOKUP($A76,'Pre-Assessment Estimator'!$A$10:$Z$228,R$2,FALSE))</f>
        <v/>
      </c>
      <c r="S76" s="578" t="str">
        <f>IF(VLOOKUP($A76,'Pre-Assessment Estimator'!$A$10:$Z$228,S$2,FALSE)=0,"",VLOOKUP($A76,'Pre-Assessment Estimator'!$A$10:$Z$228,S$2,FALSE))</f>
        <v/>
      </c>
      <c r="T76" s="581"/>
      <c r="U76" s="580" t="str">
        <f>IF(VLOOKUP($A76,'Pre-Assessment Estimator'!$A$10:$Z$228,U$2,FALSE)=0,"",VLOOKUP($A76,'Pre-Assessment Estimator'!$A$10:$Z$228,U$2,FALSE))</f>
        <v/>
      </c>
      <c r="V76" s="575">
        <f>VLOOKUP($A76,'Pre-Assessment Estimator'!$A$10:$Z$228,V$2,FALSE)</f>
        <v>0</v>
      </c>
      <c r="W76" s="574" t="str">
        <f>VLOOKUP($A76,'Pre-Assessment Estimator'!$A$10:$Z$228,W$2,FALSE)</f>
        <v>N/A</v>
      </c>
      <c r="X76" s="577" t="str">
        <f>IF(VLOOKUP($A76,'Pre-Assessment Estimator'!$A$10:$Z$228,X$2,FALSE)=0,"",VLOOKUP($A76,'Pre-Assessment Estimator'!$A$10:$Z$228,X$2,FALSE))</f>
        <v/>
      </c>
      <c r="Y76" s="577" t="str">
        <f>IF(VLOOKUP($A76,'Pre-Assessment Estimator'!$A$10:$Z$228,Y$2,FALSE)=0,"",VLOOKUP($A76,'Pre-Assessment Estimator'!$A$10:$Z$228,Y$2,FALSE))</f>
        <v/>
      </c>
      <c r="Z76" s="370" t="str">
        <f>IF(VLOOKUP($A76,'Pre-Assessment Estimator'!$A$10:$Z$228,Z$2,FALSE)=0,"",VLOOKUP($A76,'Pre-Assessment Estimator'!$A$10:$Z$228,Z$2,FALSE))</f>
        <v/>
      </c>
      <c r="AA76" s="696">
        <v>64</v>
      </c>
      <c r="AB76" s="577"/>
      <c r="AF76" s="386">
        <f t="shared" si="0"/>
        <v>1</v>
      </c>
    </row>
    <row r="77" spans="1:32" x14ac:dyDescent="0.25">
      <c r="A77" s="823">
        <v>68</v>
      </c>
      <c r="B77" s="1234" t="s">
        <v>65</v>
      </c>
      <c r="C77" s="1234"/>
      <c r="D77" s="1257" t="str">
        <f>VLOOKUP($A77,'Pre-Assessment Estimator'!$A$10:$Z$228,D$2,FALSE)</f>
        <v>Ene 02</v>
      </c>
      <c r="E77" s="1258" t="str">
        <f>VLOOKUP($A77,'Pre-Assessment Estimator'!$A$10:$Z$228,E$2,FALSE)</f>
        <v xml:space="preserve">Sub-metering of high energy load and tenancy areas </v>
      </c>
      <c r="F77" s="574">
        <f>VLOOKUP($A77,'Pre-Assessment Estimator'!$A$10:$Z$228,F$2,FALSE)</f>
        <v>1</v>
      </c>
      <c r="G77" s="580" t="str">
        <f>IF(VLOOKUP($A77,'Pre-Assessment Estimator'!$A$10:$Z$228,G$2,FALSE)=0,"",VLOOKUP($A77,'Pre-Assessment Estimator'!$A$10:$Z$228,G$2,FALSE))</f>
        <v/>
      </c>
      <c r="H77" s="1220">
        <f>VLOOKUP($A77,'Pre-Assessment Estimator'!$A$10:$Z$228,H$2,FALSE)</f>
        <v>0</v>
      </c>
      <c r="I77" s="576" t="str">
        <f>VLOOKUP($A77,'Pre-Assessment Estimator'!$A$10:$Z$228,I$2,FALSE)</f>
        <v>N/A</v>
      </c>
      <c r="J77" s="577" t="str">
        <f>IF(VLOOKUP($A77,'Pre-Assessment Estimator'!$A$10:$Z$228,J$2,FALSE)=0,"",VLOOKUP($A77,'Pre-Assessment Estimator'!$A$10:$Z$228,J$2,FALSE))</f>
        <v/>
      </c>
      <c r="K77" s="577" t="str">
        <f>IF(VLOOKUP($A77,'Pre-Assessment Estimator'!$A$10:$Z$228,K$2,FALSE)=0,"",VLOOKUP($A77,'Pre-Assessment Estimator'!$A$10:$Z$228,K$2,FALSE))</f>
        <v/>
      </c>
      <c r="L77" s="578" t="str">
        <f>IF(VLOOKUP($A77,'Pre-Assessment Estimator'!$A$10:$Z$228,L$2,FALSE)=0,"",VLOOKUP($A77,'Pre-Assessment Estimator'!$A$10:$Z$228,L$2,FALSE))</f>
        <v/>
      </c>
      <c r="M77" s="579"/>
      <c r="N77" s="580" t="str">
        <f>IF(VLOOKUP($A77,'Pre-Assessment Estimator'!$A$10:$Z$228,N$2,FALSE)=0,"",VLOOKUP($A77,'Pre-Assessment Estimator'!$A$10:$Z$228,N$2,FALSE))</f>
        <v/>
      </c>
      <c r="O77" s="575">
        <f>VLOOKUP($A77,'Pre-Assessment Estimator'!$A$10:$Z$228,O$2,FALSE)</f>
        <v>0</v>
      </c>
      <c r="P77" s="574" t="str">
        <f>VLOOKUP($A77,'Pre-Assessment Estimator'!$A$10:$Z$228,P$2,FALSE)</f>
        <v>N/A</v>
      </c>
      <c r="Q77" s="577" t="str">
        <f>IF(VLOOKUP($A77,'Pre-Assessment Estimator'!$A$10:$Z$228,Q$2,FALSE)=0,"",VLOOKUP($A77,'Pre-Assessment Estimator'!$A$10:$Z$228,Q$2,FALSE))</f>
        <v/>
      </c>
      <c r="R77" s="577" t="str">
        <f>IF(VLOOKUP($A77,'Pre-Assessment Estimator'!$A$10:$Z$228,R$2,FALSE)=0,"",VLOOKUP($A77,'Pre-Assessment Estimator'!$A$10:$Z$228,R$2,FALSE))</f>
        <v/>
      </c>
      <c r="S77" s="578" t="str">
        <f>IF(VLOOKUP($A77,'Pre-Assessment Estimator'!$A$10:$Z$228,S$2,FALSE)=0,"",VLOOKUP($A77,'Pre-Assessment Estimator'!$A$10:$Z$228,S$2,FALSE))</f>
        <v/>
      </c>
      <c r="T77" s="581"/>
      <c r="U77" s="580" t="str">
        <f>IF(VLOOKUP($A77,'Pre-Assessment Estimator'!$A$10:$Z$228,U$2,FALSE)=0,"",VLOOKUP($A77,'Pre-Assessment Estimator'!$A$10:$Z$228,U$2,FALSE))</f>
        <v/>
      </c>
      <c r="V77" s="575">
        <f>VLOOKUP($A77,'Pre-Assessment Estimator'!$A$10:$Z$228,V$2,FALSE)</f>
        <v>0</v>
      </c>
      <c r="W77" s="574" t="str">
        <f>VLOOKUP($A77,'Pre-Assessment Estimator'!$A$10:$Z$228,W$2,FALSE)</f>
        <v>N/A</v>
      </c>
      <c r="X77" s="577" t="str">
        <f>IF(VLOOKUP($A77,'Pre-Assessment Estimator'!$A$10:$Z$228,X$2,FALSE)=0,"",VLOOKUP($A77,'Pre-Assessment Estimator'!$A$10:$Z$228,X$2,FALSE))</f>
        <v/>
      </c>
      <c r="Y77" s="577" t="str">
        <f>IF(VLOOKUP($A77,'Pre-Assessment Estimator'!$A$10:$Z$228,Y$2,FALSE)=0,"",VLOOKUP($A77,'Pre-Assessment Estimator'!$A$10:$Z$228,Y$2,FALSE))</f>
        <v/>
      </c>
      <c r="Z77" s="370" t="str">
        <f>IF(VLOOKUP($A77,'Pre-Assessment Estimator'!$A$10:$Z$228,Z$2,FALSE)=0,"",VLOOKUP($A77,'Pre-Assessment Estimator'!$A$10:$Z$228,Z$2,FALSE))</f>
        <v/>
      </c>
      <c r="AA77" s="696">
        <v>65</v>
      </c>
      <c r="AB77" s="577"/>
      <c r="AF77" s="386">
        <f t="shared" si="0"/>
        <v>1</v>
      </c>
    </row>
    <row r="78" spans="1:32" x14ac:dyDescent="0.25">
      <c r="A78" s="823">
        <v>69</v>
      </c>
      <c r="B78" s="1234" t="s">
        <v>65</v>
      </c>
      <c r="C78" s="1234"/>
      <c r="D78" s="1257" t="str">
        <f>VLOOKUP($A78,'Pre-Assessment Estimator'!$A$10:$Z$228,D$2,FALSE)</f>
        <v>Ene 02</v>
      </c>
      <c r="E78" s="1258" t="str">
        <f>VLOOKUP($A78,'Pre-Assessment Estimator'!$A$10:$Z$228,E$2,FALSE)</f>
        <v xml:space="preserve">Sub-metering of energy consumption in residential buildings </v>
      </c>
      <c r="F78" s="574">
        <f>VLOOKUP($A78,'Pre-Assessment Estimator'!$A$10:$Z$228,F$2,FALSE)</f>
        <v>0</v>
      </c>
      <c r="G78" s="580" t="str">
        <f>IF(VLOOKUP($A78,'Pre-Assessment Estimator'!$A$10:$Z$228,G$2,FALSE)=0,"",VLOOKUP($A78,'Pre-Assessment Estimator'!$A$10:$Z$228,G$2,FALSE))</f>
        <v/>
      </c>
      <c r="H78" s="1220">
        <f>VLOOKUP($A78,'Pre-Assessment Estimator'!$A$10:$Z$228,H$2,FALSE)</f>
        <v>0</v>
      </c>
      <c r="I78" s="576" t="str">
        <f>VLOOKUP($A78,'Pre-Assessment Estimator'!$A$10:$Z$228,I$2,FALSE)</f>
        <v>N/A</v>
      </c>
      <c r="J78" s="577" t="str">
        <f>IF(VLOOKUP($A78,'Pre-Assessment Estimator'!$A$10:$Z$228,J$2,FALSE)=0,"",VLOOKUP($A78,'Pre-Assessment Estimator'!$A$10:$Z$228,J$2,FALSE))</f>
        <v/>
      </c>
      <c r="K78" s="577" t="str">
        <f>IF(VLOOKUP($A78,'Pre-Assessment Estimator'!$A$10:$Z$228,K$2,FALSE)=0,"",VLOOKUP($A78,'Pre-Assessment Estimator'!$A$10:$Z$228,K$2,FALSE))</f>
        <v/>
      </c>
      <c r="L78" s="578" t="str">
        <f>IF(VLOOKUP($A78,'Pre-Assessment Estimator'!$A$10:$Z$228,L$2,FALSE)=0,"",VLOOKUP($A78,'Pre-Assessment Estimator'!$A$10:$Z$228,L$2,FALSE))</f>
        <v/>
      </c>
      <c r="M78" s="579"/>
      <c r="N78" s="580" t="str">
        <f>IF(VLOOKUP($A78,'Pre-Assessment Estimator'!$A$10:$Z$228,N$2,FALSE)=0,"",VLOOKUP($A78,'Pre-Assessment Estimator'!$A$10:$Z$228,N$2,FALSE))</f>
        <v/>
      </c>
      <c r="O78" s="575">
        <f>VLOOKUP($A78,'Pre-Assessment Estimator'!$A$10:$Z$228,O$2,FALSE)</f>
        <v>0</v>
      </c>
      <c r="P78" s="574" t="str">
        <f>VLOOKUP($A78,'Pre-Assessment Estimator'!$A$10:$Z$228,P$2,FALSE)</f>
        <v>N/A</v>
      </c>
      <c r="Q78" s="577" t="str">
        <f>IF(VLOOKUP($A78,'Pre-Assessment Estimator'!$A$10:$Z$228,Q$2,FALSE)=0,"",VLOOKUP($A78,'Pre-Assessment Estimator'!$A$10:$Z$228,Q$2,FALSE))</f>
        <v/>
      </c>
      <c r="R78" s="577" t="str">
        <f>IF(VLOOKUP($A78,'Pre-Assessment Estimator'!$A$10:$Z$228,R$2,FALSE)=0,"",VLOOKUP($A78,'Pre-Assessment Estimator'!$A$10:$Z$228,R$2,FALSE))</f>
        <v/>
      </c>
      <c r="S78" s="578" t="str">
        <f>IF(VLOOKUP($A78,'Pre-Assessment Estimator'!$A$10:$Z$228,S$2,FALSE)=0,"",VLOOKUP($A78,'Pre-Assessment Estimator'!$A$10:$Z$228,S$2,FALSE))</f>
        <v/>
      </c>
      <c r="T78" s="581"/>
      <c r="U78" s="580" t="str">
        <f>IF(VLOOKUP($A78,'Pre-Assessment Estimator'!$A$10:$Z$228,U$2,FALSE)=0,"",VLOOKUP($A78,'Pre-Assessment Estimator'!$A$10:$Z$228,U$2,FALSE))</f>
        <v/>
      </c>
      <c r="V78" s="575">
        <f>VLOOKUP($A78,'Pre-Assessment Estimator'!$A$10:$Z$228,V$2,FALSE)</f>
        <v>0</v>
      </c>
      <c r="W78" s="574" t="str">
        <f>VLOOKUP($A78,'Pre-Assessment Estimator'!$A$10:$Z$228,W$2,FALSE)</f>
        <v>N/A</v>
      </c>
      <c r="X78" s="577" t="str">
        <f>IF(VLOOKUP($A78,'Pre-Assessment Estimator'!$A$10:$Z$228,X$2,FALSE)=0,"",VLOOKUP($A78,'Pre-Assessment Estimator'!$A$10:$Z$228,X$2,FALSE))</f>
        <v/>
      </c>
      <c r="Y78" s="577" t="str">
        <f>IF(VLOOKUP($A78,'Pre-Assessment Estimator'!$A$10:$Z$228,Y$2,FALSE)=0,"",VLOOKUP($A78,'Pre-Assessment Estimator'!$A$10:$Z$228,Y$2,FALSE))</f>
        <v/>
      </c>
      <c r="Z78" s="370" t="str">
        <f>IF(VLOOKUP($A78,'Pre-Assessment Estimator'!$A$10:$Z$228,Z$2,FALSE)=0,"",VLOOKUP($A78,'Pre-Assessment Estimator'!$A$10:$Z$228,Z$2,FALSE))</f>
        <v/>
      </c>
      <c r="AA78" s="696">
        <v>66</v>
      </c>
      <c r="AB78" s="577"/>
      <c r="AF78" s="386">
        <f t="shared" si="0"/>
        <v>2</v>
      </c>
    </row>
    <row r="79" spans="1:32" x14ac:dyDescent="0.25">
      <c r="A79" s="823">
        <v>70</v>
      </c>
      <c r="B79" s="1234" t="s">
        <v>65</v>
      </c>
      <c r="C79" s="1234"/>
      <c r="D79" s="1256" t="str">
        <f>VLOOKUP($A79,'Pre-Assessment Estimator'!$A$10:$Z$228,D$2,FALSE)</f>
        <v>Ene 03</v>
      </c>
      <c r="E79" s="1256" t="str">
        <f>VLOOKUP($A79,'Pre-Assessment Estimator'!$A$10:$Z$228,E$2,FALSE)</f>
        <v>Ene 03 External lighting</v>
      </c>
      <c r="F79" s="574">
        <f>VLOOKUP($A79,'Pre-Assessment Estimator'!$A$10:$Z$228,F$2,FALSE)</f>
        <v>1</v>
      </c>
      <c r="G79" s="580" t="str">
        <f>IF(VLOOKUP($A79,'Pre-Assessment Estimator'!$A$10:$Z$228,G$2,FALSE)=0,"",VLOOKUP($A79,'Pre-Assessment Estimator'!$A$10:$Z$228,G$2,FALSE))</f>
        <v/>
      </c>
      <c r="H79" s="1220" t="str">
        <f>VLOOKUP($A79,'Pre-Assessment Estimator'!$A$10:$Z$228,H$2,FALSE)</f>
        <v>0 c. 0 %</v>
      </c>
      <c r="I79" s="576" t="str">
        <f>VLOOKUP($A79,'Pre-Assessment Estimator'!$A$10:$Z$228,I$2,FALSE)</f>
        <v>N/A</v>
      </c>
      <c r="J79" s="577" t="str">
        <f>IF(VLOOKUP($A79,'Pre-Assessment Estimator'!$A$10:$Z$228,J$2,FALSE)=0,"",VLOOKUP($A79,'Pre-Assessment Estimator'!$A$10:$Z$228,J$2,FALSE))</f>
        <v/>
      </c>
      <c r="K79" s="577" t="str">
        <f>IF(VLOOKUP($A79,'Pre-Assessment Estimator'!$A$10:$Z$228,K$2,FALSE)=0,"",VLOOKUP($A79,'Pre-Assessment Estimator'!$A$10:$Z$228,K$2,FALSE))</f>
        <v/>
      </c>
      <c r="L79" s="578" t="str">
        <f>IF(VLOOKUP($A79,'Pre-Assessment Estimator'!$A$10:$Z$228,L$2,FALSE)=0,"",VLOOKUP($A79,'Pre-Assessment Estimator'!$A$10:$Z$228,L$2,FALSE))</f>
        <v/>
      </c>
      <c r="M79" s="579"/>
      <c r="N79" s="580" t="str">
        <f>IF(VLOOKUP($A79,'Pre-Assessment Estimator'!$A$10:$Z$228,N$2,FALSE)=0,"",VLOOKUP($A79,'Pre-Assessment Estimator'!$A$10:$Z$228,N$2,FALSE))</f>
        <v/>
      </c>
      <c r="O79" s="575" t="str">
        <f>VLOOKUP($A79,'Pre-Assessment Estimator'!$A$10:$Z$228,O$2,FALSE)</f>
        <v>0 c. 0 %</v>
      </c>
      <c r="P79" s="574" t="str">
        <f>VLOOKUP($A79,'Pre-Assessment Estimator'!$A$10:$Z$228,P$2,FALSE)</f>
        <v>N/A</v>
      </c>
      <c r="Q79" s="577" t="str">
        <f>IF(VLOOKUP($A79,'Pre-Assessment Estimator'!$A$10:$Z$228,Q$2,FALSE)=0,"",VLOOKUP($A79,'Pre-Assessment Estimator'!$A$10:$Z$228,Q$2,FALSE))</f>
        <v/>
      </c>
      <c r="R79" s="577" t="str">
        <f>IF(VLOOKUP($A79,'Pre-Assessment Estimator'!$A$10:$Z$228,R$2,FALSE)=0,"",VLOOKUP($A79,'Pre-Assessment Estimator'!$A$10:$Z$228,R$2,FALSE))</f>
        <v/>
      </c>
      <c r="S79" s="578" t="str">
        <f>IF(VLOOKUP($A79,'Pre-Assessment Estimator'!$A$10:$Z$228,S$2,FALSE)=0,"",VLOOKUP($A79,'Pre-Assessment Estimator'!$A$10:$Z$228,S$2,FALSE))</f>
        <v/>
      </c>
      <c r="T79" s="581"/>
      <c r="U79" s="580" t="str">
        <f>IF(VLOOKUP($A79,'Pre-Assessment Estimator'!$A$10:$Z$228,U$2,FALSE)=0,"",VLOOKUP($A79,'Pre-Assessment Estimator'!$A$10:$Z$228,U$2,FALSE))</f>
        <v/>
      </c>
      <c r="V79" s="575" t="str">
        <f>VLOOKUP($A79,'Pre-Assessment Estimator'!$A$10:$Z$228,V$2,FALSE)</f>
        <v>0 c. 0 %</v>
      </c>
      <c r="W79" s="574" t="str">
        <f>VLOOKUP($A79,'Pre-Assessment Estimator'!$A$10:$Z$228,W$2,FALSE)</f>
        <v>N/A</v>
      </c>
      <c r="X79" s="577" t="str">
        <f>IF(VLOOKUP($A79,'Pre-Assessment Estimator'!$A$10:$Z$228,X$2,FALSE)=0,"",VLOOKUP($A79,'Pre-Assessment Estimator'!$A$10:$Z$228,X$2,FALSE))</f>
        <v/>
      </c>
      <c r="Y79" s="577" t="str">
        <f>IF(VLOOKUP($A79,'Pre-Assessment Estimator'!$A$10:$Z$228,Y$2,FALSE)=0,"",VLOOKUP($A79,'Pre-Assessment Estimator'!$A$10:$Z$228,Y$2,FALSE))</f>
        <v/>
      </c>
      <c r="Z79" s="370" t="str">
        <f>IF(VLOOKUP($A79,'Pre-Assessment Estimator'!$A$10:$Z$228,Z$2,FALSE)=0,"",VLOOKUP($A79,'Pre-Assessment Estimator'!$A$10:$Z$228,Z$2,FALSE))</f>
        <v/>
      </c>
      <c r="AA79" s="696">
        <v>67</v>
      </c>
      <c r="AB79" s="577"/>
      <c r="AF79" s="386">
        <f t="shared" si="0"/>
        <v>1</v>
      </c>
    </row>
    <row r="80" spans="1:32" x14ac:dyDescent="0.25">
      <c r="A80" s="823">
        <v>71</v>
      </c>
      <c r="B80" s="1234" t="s">
        <v>65</v>
      </c>
      <c r="C80" s="1234"/>
      <c r="D80" s="1257" t="str">
        <f>VLOOKUP($A80,'Pre-Assessment Estimator'!$A$10:$Z$228,D$2,FALSE)</f>
        <v>Ene 03</v>
      </c>
      <c r="E80" s="1258" t="str">
        <f>VLOOKUP($A80,'Pre-Assessment Estimator'!$A$10:$Z$228,E$2,FALSE)</f>
        <v>No external lighting within the construction zone</v>
      </c>
      <c r="F80" s="574">
        <f>VLOOKUP($A80,'Pre-Assessment Estimator'!$A$10:$Z$228,F$2,FALSE)</f>
        <v>1</v>
      </c>
      <c r="G80" s="580" t="str">
        <f>IF(VLOOKUP($A80,'Pre-Assessment Estimator'!$A$10:$Z$228,G$2,FALSE)=0,"",VLOOKUP($A80,'Pre-Assessment Estimator'!$A$10:$Z$228,G$2,FALSE))</f>
        <v/>
      </c>
      <c r="H80" s="1220">
        <f>VLOOKUP($A80,'Pre-Assessment Estimator'!$A$10:$Z$228,H$2,FALSE)</f>
        <v>0</v>
      </c>
      <c r="I80" s="576" t="str">
        <f>VLOOKUP($A80,'Pre-Assessment Estimator'!$A$10:$Z$228,I$2,FALSE)</f>
        <v>N/A</v>
      </c>
      <c r="J80" s="577" t="str">
        <f>IF(VLOOKUP($A80,'Pre-Assessment Estimator'!$A$10:$Z$228,J$2,FALSE)=0,"",VLOOKUP($A80,'Pre-Assessment Estimator'!$A$10:$Z$228,J$2,FALSE))</f>
        <v/>
      </c>
      <c r="K80" s="577" t="str">
        <f>IF(VLOOKUP($A80,'Pre-Assessment Estimator'!$A$10:$Z$228,K$2,FALSE)=0,"",VLOOKUP($A80,'Pre-Assessment Estimator'!$A$10:$Z$228,K$2,FALSE))</f>
        <v/>
      </c>
      <c r="L80" s="578" t="str">
        <f>IF(VLOOKUP($A80,'Pre-Assessment Estimator'!$A$10:$Z$228,L$2,FALSE)=0,"",VLOOKUP($A80,'Pre-Assessment Estimator'!$A$10:$Z$228,L$2,FALSE))</f>
        <v/>
      </c>
      <c r="M80" s="579"/>
      <c r="N80" s="580" t="str">
        <f>IF(VLOOKUP($A80,'Pre-Assessment Estimator'!$A$10:$Z$228,N$2,FALSE)=0,"",VLOOKUP($A80,'Pre-Assessment Estimator'!$A$10:$Z$228,N$2,FALSE))</f>
        <v/>
      </c>
      <c r="O80" s="575">
        <f>VLOOKUP($A80,'Pre-Assessment Estimator'!$A$10:$Z$228,O$2,FALSE)</f>
        <v>0</v>
      </c>
      <c r="P80" s="574" t="str">
        <f>VLOOKUP($A80,'Pre-Assessment Estimator'!$A$10:$Z$228,P$2,FALSE)</f>
        <v>N/A</v>
      </c>
      <c r="Q80" s="577" t="str">
        <f>IF(VLOOKUP($A80,'Pre-Assessment Estimator'!$A$10:$Z$228,Q$2,FALSE)=0,"",VLOOKUP($A80,'Pre-Assessment Estimator'!$A$10:$Z$228,Q$2,FALSE))</f>
        <v/>
      </c>
      <c r="R80" s="577" t="str">
        <f>IF(VLOOKUP($A80,'Pre-Assessment Estimator'!$A$10:$Z$228,R$2,FALSE)=0,"",VLOOKUP($A80,'Pre-Assessment Estimator'!$A$10:$Z$228,R$2,FALSE))</f>
        <v/>
      </c>
      <c r="S80" s="578" t="str">
        <f>IF(VLOOKUP($A80,'Pre-Assessment Estimator'!$A$10:$Z$228,S$2,FALSE)=0,"",VLOOKUP($A80,'Pre-Assessment Estimator'!$A$10:$Z$228,S$2,FALSE))</f>
        <v/>
      </c>
      <c r="T80" s="581"/>
      <c r="U80" s="580" t="str">
        <f>IF(VLOOKUP($A80,'Pre-Assessment Estimator'!$A$10:$Z$228,U$2,FALSE)=0,"",VLOOKUP($A80,'Pre-Assessment Estimator'!$A$10:$Z$228,U$2,FALSE))</f>
        <v/>
      </c>
      <c r="V80" s="575">
        <f>VLOOKUP($A80,'Pre-Assessment Estimator'!$A$10:$Z$228,V$2,FALSE)</f>
        <v>0</v>
      </c>
      <c r="W80" s="574" t="str">
        <f>VLOOKUP($A80,'Pre-Assessment Estimator'!$A$10:$Z$228,W$2,FALSE)</f>
        <v>N/A</v>
      </c>
      <c r="X80" s="577" t="str">
        <f>IF(VLOOKUP($A80,'Pre-Assessment Estimator'!$A$10:$Z$228,X$2,FALSE)=0,"",VLOOKUP($A80,'Pre-Assessment Estimator'!$A$10:$Z$228,X$2,FALSE))</f>
        <v/>
      </c>
      <c r="Y80" s="577" t="str">
        <f>IF(VLOOKUP($A80,'Pre-Assessment Estimator'!$A$10:$Z$228,Y$2,FALSE)=0,"",VLOOKUP($A80,'Pre-Assessment Estimator'!$A$10:$Z$228,Y$2,FALSE))</f>
        <v/>
      </c>
      <c r="Z80" s="370" t="str">
        <f>IF(VLOOKUP($A80,'Pre-Assessment Estimator'!$A$10:$Z$228,Z$2,FALSE)=0,"",VLOOKUP($A80,'Pre-Assessment Estimator'!$A$10:$Z$228,Z$2,FALSE))</f>
        <v/>
      </c>
      <c r="AA80" s="696">
        <v>68</v>
      </c>
      <c r="AB80" s="577"/>
      <c r="AF80" s="386">
        <f t="shared" si="0"/>
        <v>1</v>
      </c>
    </row>
    <row r="81" spans="1:32" x14ac:dyDescent="0.25">
      <c r="A81" s="823">
        <v>72</v>
      </c>
      <c r="B81" s="1234" t="s">
        <v>65</v>
      </c>
      <c r="C81" s="1234"/>
      <c r="D81" s="1257" t="str">
        <f>VLOOKUP($A81,'Pre-Assessment Estimator'!$A$10:$Z$228,D$2,FALSE)</f>
        <v>Ene 03</v>
      </c>
      <c r="E81" s="1258" t="str">
        <f>VLOOKUP($A81,'Pre-Assessment Estimator'!$A$10:$Z$228,E$2,FALSE)</f>
        <v>External lighting within the construction zone</v>
      </c>
      <c r="F81" s="574">
        <f>VLOOKUP($A81,'Pre-Assessment Estimator'!$A$10:$Z$228,F$2,FALSE)</f>
        <v>0</v>
      </c>
      <c r="G81" s="580" t="str">
        <f>IF(VLOOKUP($A81,'Pre-Assessment Estimator'!$A$10:$Z$228,G$2,FALSE)=0,"",VLOOKUP($A81,'Pre-Assessment Estimator'!$A$10:$Z$228,G$2,FALSE))</f>
        <v/>
      </c>
      <c r="H81" s="1220">
        <f>VLOOKUP($A81,'Pre-Assessment Estimator'!$A$10:$Z$228,H$2,FALSE)</f>
        <v>0</v>
      </c>
      <c r="I81" s="576" t="str">
        <f>VLOOKUP($A81,'Pre-Assessment Estimator'!$A$10:$Z$228,I$2,FALSE)</f>
        <v>N/A</v>
      </c>
      <c r="J81" s="577" t="str">
        <f>IF(VLOOKUP($A81,'Pre-Assessment Estimator'!$A$10:$Z$228,J$2,FALSE)=0,"",VLOOKUP($A81,'Pre-Assessment Estimator'!$A$10:$Z$228,J$2,FALSE))</f>
        <v/>
      </c>
      <c r="K81" s="577" t="str">
        <f>IF(VLOOKUP($A81,'Pre-Assessment Estimator'!$A$10:$Z$228,K$2,FALSE)=0,"",VLOOKUP($A81,'Pre-Assessment Estimator'!$A$10:$Z$228,K$2,FALSE))</f>
        <v/>
      </c>
      <c r="L81" s="578" t="str">
        <f>IF(VLOOKUP($A81,'Pre-Assessment Estimator'!$A$10:$Z$228,L$2,FALSE)=0,"",VLOOKUP($A81,'Pre-Assessment Estimator'!$A$10:$Z$228,L$2,FALSE))</f>
        <v/>
      </c>
      <c r="M81" s="579"/>
      <c r="N81" s="580" t="str">
        <f>IF(VLOOKUP($A81,'Pre-Assessment Estimator'!$A$10:$Z$228,N$2,FALSE)=0,"",VLOOKUP($A81,'Pre-Assessment Estimator'!$A$10:$Z$228,N$2,FALSE))</f>
        <v/>
      </c>
      <c r="O81" s="575">
        <f>VLOOKUP($A81,'Pre-Assessment Estimator'!$A$10:$Z$228,O$2,FALSE)</f>
        <v>0</v>
      </c>
      <c r="P81" s="574" t="str">
        <f>VLOOKUP($A81,'Pre-Assessment Estimator'!$A$10:$Z$228,P$2,FALSE)</f>
        <v>N/A</v>
      </c>
      <c r="Q81" s="577" t="str">
        <f>IF(VLOOKUP($A81,'Pre-Assessment Estimator'!$A$10:$Z$228,Q$2,FALSE)=0,"",VLOOKUP($A81,'Pre-Assessment Estimator'!$A$10:$Z$228,Q$2,FALSE))</f>
        <v/>
      </c>
      <c r="R81" s="577" t="str">
        <f>IF(VLOOKUP($A81,'Pre-Assessment Estimator'!$A$10:$Z$228,R$2,FALSE)=0,"",VLOOKUP($A81,'Pre-Assessment Estimator'!$A$10:$Z$228,R$2,FALSE))</f>
        <v/>
      </c>
      <c r="S81" s="578" t="str">
        <f>IF(VLOOKUP($A81,'Pre-Assessment Estimator'!$A$10:$Z$228,S$2,FALSE)=0,"",VLOOKUP($A81,'Pre-Assessment Estimator'!$A$10:$Z$228,S$2,FALSE))</f>
        <v/>
      </c>
      <c r="T81" s="581"/>
      <c r="U81" s="580" t="str">
        <f>IF(VLOOKUP($A81,'Pre-Assessment Estimator'!$A$10:$Z$228,U$2,FALSE)=0,"",VLOOKUP($A81,'Pre-Assessment Estimator'!$A$10:$Z$228,U$2,FALSE))</f>
        <v/>
      </c>
      <c r="V81" s="575">
        <f>VLOOKUP($A81,'Pre-Assessment Estimator'!$A$10:$Z$228,V$2,FALSE)</f>
        <v>0</v>
      </c>
      <c r="W81" s="574" t="str">
        <f>VLOOKUP($A81,'Pre-Assessment Estimator'!$A$10:$Z$228,W$2,FALSE)</f>
        <v>N/A</v>
      </c>
      <c r="X81" s="577" t="str">
        <f>IF(VLOOKUP($A81,'Pre-Assessment Estimator'!$A$10:$Z$228,X$2,FALSE)=0,"",VLOOKUP($A81,'Pre-Assessment Estimator'!$A$10:$Z$228,X$2,FALSE))</f>
        <v/>
      </c>
      <c r="Y81" s="577" t="str">
        <f>IF(VLOOKUP($A81,'Pre-Assessment Estimator'!$A$10:$Z$228,Y$2,FALSE)=0,"",VLOOKUP($A81,'Pre-Assessment Estimator'!$A$10:$Z$228,Y$2,FALSE))</f>
        <v/>
      </c>
      <c r="Z81" s="370" t="str">
        <f>IF(VLOOKUP($A81,'Pre-Assessment Estimator'!$A$10:$Z$228,Z$2,FALSE)=0,"",VLOOKUP($A81,'Pre-Assessment Estimator'!$A$10:$Z$228,Z$2,FALSE))</f>
        <v/>
      </c>
      <c r="AA81" s="696">
        <v>69</v>
      </c>
      <c r="AB81" s="577"/>
      <c r="AF81" s="386">
        <f t="shared" si="0"/>
        <v>2</v>
      </c>
    </row>
    <row r="82" spans="1:32" x14ac:dyDescent="0.25">
      <c r="A82" s="823">
        <v>73</v>
      </c>
      <c r="B82" s="1234" t="s">
        <v>65</v>
      </c>
      <c r="C82" s="1234"/>
      <c r="D82" s="1256" t="str">
        <f>VLOOKUP($A82,'Pre-Assessment Estimator'!$A$10:$Z$228,D$2,FALSE)</f>
        <v>Ene 05</v>
      </c>
      <c r="E82" s="1256" t="str">
        <f>VLOOKUP($A82,'Pre-Assessment Estimator'!$A$10:$Z$228,E$2,FALSE)</f>
        <v>Ene 05 Energy efficient cold storage</v>
      </c>
      <c r="F82" s="574">
        <f>VLOOKUP($A82,'Pre-Assessment Estimator'!$A$10:$Z$228,F$2,FALSE)</f>
        <v>2</v>
      </c>
      <c r="G82" s="580" t="str">
        <f>IF(VLOOKUP($A82,'Pre-Assessment Estimator'!$A$10:$Z$228,G$2,FALSE)=0,"",VLOOKUP($A82,'Pre-Assessment Estimator'!$A$10:$Z$228,G$2,FALSE))</f>
        <v/>
      </c>
      <c r="H82" s="1220" t="str">
        <f>VLOOKUP($A82,'Pre-Assessment Estimator'!$A$10:$Z$228,H$2,FALSE)</f>
        <v>0 c. 0 %</v>
      </c>
      <c r="I82" s="576" t="str">
        <f>VLOOKUP($A82,'Pre-Assessment Estimator'!$A$10:$Z$228,I$2,FALSE)</f>
        <v>N/A</v>
      </c>
      <c r="J82" s="577" t="str">
        <f>IF(VLOOKUP($A82,'Pre-Assessment Estimator'!$A$10:$Z$228,J$2,FALSE)=0,"",VLOOKUP($A82,'Pre-Assessment Estimator'!$A$10:$Z$228,J$2,FALSE))</f>
        <v/>
      </c>
      <c r="K82" s="577" t="str">
        <f>IF(VLOOKUP($A82,'Pre-Assessment Estimator'!$A$10:$Z$228,K$2,FALSE)=0,"",VLOOKUP($A82,'Pre-Assessment Estimator'!$A$10:$Z$228,K$2,FALSE))</f>
        <v/>
      </c>
      <c r="L82" s="578" t="str">
        <f>IF(VLOOKUP($A82,'Pre-Assessment Estimator'!$A$10:$Z$228,L$2,FALSE)=0,"",VLOOKUP($A82,'Pre-Assessment Estimator'!$A$10:$Z$228,L$2,FALSE))</f>
        <v/>
      </c>
      <c r="M82" s="579"/>
      <c r="N82" s="580" t="str">
        <f>IF(VLOOKUP($A82,'Pre-Assessment Estimator'!$A$10:$Z$228,N$2,FALSE)=0,"",VLOOKUP($A82,'Pre-Assessment Estimator'!$A$10:$Z$228,N$2,FALSE))</f>
        <v/>
      </c>
      <c r="O82" s="575" t="str">
        <f>VLOOKUP($A82,'Pre-Assessment Estimator'!$A$10:$Z$228,O$2,FALSE)</f>
        <v>0 c. 0 %</v>
      </c>
      <c r="P82" s="574" t="str">
        <f>VLOOKUP($A82,'Pre-Assessment Estimator'!$A$10:$Z$228,P$2,FALSE)</f>
        <v>N/A</v>
      </c>
      <c r="Q82" s="577" t="str">
        <f>IF(VLOOKUP($A82,'Pre-Assessment Estimator'!$A$10:$Z$228,Q$2,FALSE)=0,"",VLOOKUP($A82,'Pre-Assessment Estimator'!$A$10:$Z$228,Q$2,FALSE))</f>
        <v/>
      </c>
      <c r="R82" s="577" t="str">
        <f>IF(VLOOKUP($A82,'Pre-Assessment Estimator'!$A$10:$Z$228,R$2,FALSE)=0,"",VLOOKUP($A82,'Pre-Assessment Estimator'!$A$10:$Z$228,R$2,FALSE))</f>
        <v/>
      </c>
      <c r="S82" s="578" t="str">
        <f>IF(VLOOKUP($A82,'Pre-Assessment Estimator'!$A$10:$Z$228,S$2,FALSE)=0,"",VLOOKUP($A82,'Pre-Assessment Estimator'!$A$10:$Z$228,S$2,FALSE))</f>
        <v/>
      </c>
      <c r="T82" s="581"/>
      <c r="U82" s="580" t="str">
        <f>IF(VLOOKUP($A82,'Pre-Assessment Estimator'!$A$10:$Z$228,U$2,FALSE)=0,"",VLOOKUP($A82,'Pre-Assessment Estimator'!$A$10:$Z$228,U$2,FALSE))</f>
        <v/>
      </c>
      <c r="V82" s="575" t="str">
        <f>VLOOKUP($A82,'Pre-Assessment Estimator'!$A$10:$Z$228,V$2,FALSE)</f>
        <v>0 c. 0 %</v>
      </c>
      <c r="W82" s="574" t="str">
        <f>VLOOKUP($A82,'Pre-Assessment Estimator'!$A$10:$Z$228,W$2,FALSE)</f>
        <v>N/A</v>
      </c>
      <c r="X82" s="577" t="str">
        <f>IF(VLOOKUP($A82,'Pre-Assessment Estimator'!$A$10:$Z$228,X$2,FALSE)=0,"",VLOOKUP($A82,'Pre-Assessment Estimator'!$A$10:$Z$228,X$2,FALSE))</f>
        <v/>
      </c>
      <c r="Y82" s="577" t="str">
        <f>IF(VLOOKUP($A82,'Pre-Assessment Estimator'!$A$10:$Z$228,Y$2,FALSE)=0,"",VLOOKUP($A82,'Pre-Assessment Estimator'!$A$10:$Z$228,Y$2,FALSE))</f>
        <v/>
      </c>
      <c r="Z82" s="370" t="str">
        <f>IF(VLOOKUP($A82,'Pre-Assessment Estimator'!$A$10:$Z$228,Z$2,FALSE)=0,"",VLOOKUP($A82,'Pre-Assessment Estimator'!$A$10:$Z$228,Z$2,FALSE))</f>
        <v/>
      </c>
      <c r="AA82" s="696">
        <v>70</v>
      </c>
      <c r="AB82" s="577"/>
      <c r="AF82" s="386">
        <f t="shared" si="0"/>
        <v>1</v>
      </c>
    </row>
    <row r="83" spans="1:32" x14ac:dyDescent="0.25">
      <c r="A83" s="823">
        <v>74</v>
      </c>
      <c r="B83" s="1234" t="s">
        <v>65</v>
      </c>
      <c r="C83" s="1234"/>
      <c r="D83" s="1257" t="str">
        <f>VLOOKUP($A83,'Pre-Assessment Estimator'!$A$10:$Z$228,D$2,FALSE)</f>
        <v>Ene 05</v>
      </c>
      <c r="E83" s="1258" t="str">
        <f>VLOOKUP($A83,'Pre-Assessment Estimator'!$A$10:$Z$228,E$2,FALSE)</f>
        <v xml:space="preserve">Design of energy efficient refrigeration- and freezing room </v>
      </c>
      <c r="F83" s="574">
        <f>VLOOKUP($A83,'Pre-Assessment Estimator'!$A$10:$Z$228,F$2,FALSE)</f>
        <v>1</v>
      </c>
      <c r="G83" s="580" t="str">
        <f>IF(VLOOKUP($A83,'Pre-Assessment Estimator'!$A$10:$Z$228,G$2,FALSE)=0,"",VLOOKUP($A83,'Pre-Assessment Estimator'!$A$10:$Z$228,G$2,FALSE))</f>
        <v/>
      </c>
      <c r="H83" s="1220">
        <f>VLOOKUP($A83,'Pre-Assessment Estimator'!$A$10:$Z$228,H$2,FALSE)</f>
        <v>0</v>
      </c>
      <c r="I83" s="576" t="str">
        <f>VLOOKUP($A83,'Pre-Assessment Estimator'!$A$10:$Z$228,I$2,FALSE)</f>
        <v>N/A</v>
      </c>
      <c r="J83" s="577" t="str">
        <f>IF(VLOOKUP($A83,'Pre-Assessment Estimator'!$A$10:$Z$228,J$2,FALSE)=0,"",VLOOKUP($A83,'Pre-Assessment Estimator'!$A$10:$Z$228,J$2,FALSE))</f>
        <v/>
      </c>
      <c r="K83" s="577" t="str">
        <f>IF(VLOOKUP($A83,'Pre-Assessment Estimator'!$A$10:$Z$228,K$2,FALSE)=0,"",VLOOKUP($A83,'Pre-Assessment Estimator'!$A$10:$Z$228,K$2,FALSE))</f>
        <v/>
      </c>
      <c r="L83" s="578" t="str">
        <f>IF(VLOOKUP($A83,'Pre-Assessment Estimator'!$A$10:$Z$228,L$2,FALSE)=0,"",VLOOKUP($A83,'Pre-Assessment Estimator'!$A$10:$Z$228,L$2,FALSE))</f>
        <v/>
      </c>
      <c r="M83" s="579"/>
      <c r="N83" s="580" t="str">
        <f>IF(VLOOKUP($A83,'Pre-Assessment Estimator'!$A$10:$Z$228,N$2,FALSE)=0,"",VLOOKUP($A83,'Pre-Assessment Estimator'!$A$10:$Z$228,N$2,FALSE))</f>
        <v/>
      </c>
      <c r="O83" s="575">
        <f>VLOOKUP($A83,'Pre-Assessment Estimator'!$A$10:$Z$228,O$2,FALSE)</f>
        <v>0</v>
      </c>
      <c r="P83" s="574" t="str">
        <f>VLOOKUP($A83,'Pre-Assessment Estimator'!$A$10:$Z$228,P$2,FALSE)</f>
        <v>N/A</v>
      </c>
      <c r="Q83" s="577" t="str">
        <f>IF(VLOOKUP($A83,'Pre-Assessment Estimator'!$A$10:$Z$228,Q$2,FALSE)=0,"",VLOOKUP($A83,'Pre-Assessment Estimator'!$A$10:$Z$228,Q$2,FALSE))</f>
        <v/>
      </c>
      <c r="R83" s="577" t="str">
        <f>IF(VLOOKUP($A83,'Pre-Assessment Estimator'!$A$10:$Z$228,R$2,FALSE)=0,"",VLOOKUP($A83,'Pre-Assessment Estimator'!$A$10:$Z$228,R$2,FALSE))</f>
        <v/>
      </c>
      <c r="S83" s="578" t="str">
        <f>IF(VLOOKUP($A83,'Pre-Assessment Estimator'!$A$10:$Z$228,S$2,FALSE)=0,"",VLOOKUP($A83,'Pre-Assessment Estimator'!$A$10:$Z$228,S$2,FALSE))</f>
        <v/>
      </c>
      <c r="T83" s="581"/>
      <c r="U83" s="580" t="str">
        <f>IF(VLOOKUP($A83,'Pre-Assessment Estimator'!$A$10:$Z$228,U$2,FALSE)=0,"",VLOOKUP($A83,'Pre-Assessment Estimator'!$A$10:$Z$228,U$2,FALSE))</f>
        <v/>
      </c>
      <c r="V83" s="575">
        <f>VLOOKUP($A83,'Pre-Assessment Estimator'!$A$10:$Z$228,V$2,FALSE)</f>
        <v>0</v>
      </c>
      <c r="W83" s="574" t="str">
        <f>VLOOKUP($A83,'Pre-Assessment Estimator'!$A$10:$Z$228,W$2,FALSE)</f>
        <v>N/A</v>
      </c>
      <c r="X83" s="577" t="str">
        <f>IF(VLOOKUP($A83,'Pre-Assessment Estimator'!$A$10:$Z$228,X$2,FALSE)=0,"",VLOOKUP($A83,'Pre-Assessment Estimator'!$A$10:$Z$228,X$2,FALSE))</f>
        <v/>
      </c>
      <c r="Y83" s="577" t="str">
        <f>IF(VLOOKUP($A83,'Pre-Assessment Estimator'!$A$10:$Z$228,Y$2,FALSE)=0,"",VLOOKUP($A83,'Pre-Assessment Estimator'!$A$10:$Z$228,Y$2,FALSE))</f>
        <v/>
      </c>
      <c r="Z83" s="370" t="str">
        <f>IF(VLOOKUP($A83,'Pre-Assessment Estimator'!$A$10:$Z$228,Z$2,FALSE)=0,"",VLOOKUP($A83,'Pre-Assessment Estimator'!$A$10:$Z$228,Z$2,FALSE))</f>
        <v/>
      </c>
      <c r="AA83" s="696">
        <v>71</v>
      </c>
      <c r="AB83" s="577"/>
      <c r="AF83" s="386">
        <f t="shared" si="0"/>
        <v>1</v>
      </c>
    </row>
    <row r="84" spans="1:32" x14ac:dyDescent="0.25">
      <c r="A84" s="823">
        <v>75</v>
      </c>
      <c r="B84" s="1234" t="s">
        <v>65</v>
      </c>
      <c r="C84" s="1234"/>
      <c r="D84" s="1257" t="str">
        <f>VLOOKUP($A84,'Pre-Assessment Estimator'!$A$10:$Z$228,D$2,FALSE)</f>
        <v>Ene 05</v>
      </c>
      <c r="E84" s="1258" t="str">
        <f>VLOOKUP($A84,'Pre-Assessment Estimator'!$A$10:$Z$228,E$2,FALSE)</f>
        <v xml:space="preserve">Indirect greenhouse gas emissions </v>
      </c>
      <c r="F84" s="574">
        <f>VLOOKUP($A84,'Pre-Assessment Estimator'!$A$10:$Z$228,F$2,FALSE)</f>
        <v>1</v>
      </c>
      <c r="G84" s="580" t="str">
        <f>IF(VLOOKUP($A84,'Pre-Assessment Estimator'!$A$10:$Z$228,G$2,FALSE)=0,"",VLOOKUP($A84,'Pre-Assessment Estimator'!$A$10:$Z$228,G$2,FALSE))</f>
        <v/>
      </c>
      <c r="H84" s="1220">
        <f>VLOOKUP($A84,'Pre-Assessment Estimator'!$A$10:$Z$228,H$2,FALSE)</f>
        <v>0</v>
      </c>
      <c r="I84" s="576" t="str">
        <f>VLOOKUP($A84,'Pre-Assessment Estimator'!$A$10:$Z$228,I$2,FALSE)</f>
        <v>N/A</v>
      </c>
      <c r="J84" s="577" t="str">
        <f>IF(VLOOKUP($A84,'Pre-Assessment Estimator'!$A$10:$Z$228,J$2,FALSE)=0,"",VLOOKUP($A84,'Pre-Assessment Estimator'!$A$10:$Z$228,J$2,FALSE))</f>
        <v/>
      </c>
      <c r="K84" s="577" t="str">
        <f>IF(VLOOKUP($A84,'Pre-Assessment Estimator'!$A$10:$Z$228,K$2,FALSE)=0,"",VLOOKUP($A84,'Pre-Assessment Estimator'!$A$10:$Z$228,K$2,FALSE))</f>
        <v/>
      </c>
      <c r="L84" s="578" t="str">
        <f>IF(VLOOKUP($A84,'Pre-Assessment Estimator'!$A$10:$Z$228,L$2,FALSE)=0,"",VLOOKUP($A84,'Pre-Assessment Estimator'!$A$10:$Z$228,L$2,FALSE))</f>
        <v/>
      </c>
      <c r="M84" s="579"/>
      <c r="N84" s="580" t="str">
        <f>IF(VLOOKUP($A84,'Pre-Assessment Estimator'!$A$10:$Z$228,N$2,FALSE)=0,"",VLOOKUP($A84,'Pre-Assessment Estimator'!$A$10:$Z$228,N$2,FALSE))</f>
        <v/>
      </c>
      <c r="O84" s="575">
        <f>VLOOKUP($A84,'Pre-Assessment Estimator'!$A$10:$Z$228,O$2,FALSE)</f>
        <v>0</v>
      </c>
      <c r="P84" s="574" t="str">
        <f>VLOOKUP($A84,'Pre-Assessment Estimator'!$A$10:$Z$228,P$2,FALSE)</f>
        <v>N/A</v>
      </c>
      <c r="Q84" s="577" t="str">
        <f>IF(VLOOKUP($A84,'Pre-Assessment Estimator'!$A$10:$Z$228,Q$2,FALSE)=0,"",VLOOKUP($A84,'Pre-Assessment Estimator'!$A$10:$Z$228,Q$2,FALSE))</f>
        <v/>
      </c>
      <c r="R84" s="577" t="str">
        <f>IF(VLOOKUP($A84,'Pre-Assessment Estimator'!$A$10:$Z$228,R$2,FALSE)=0,"",VLOOKUP($A84,'Pre-Assessment Estimator'!$A$10:$Z$228,R$2,FALSE))</f>
        <v/>
      </c>
      <c r="S84" s="578" t="str">
        <f>IF(VLOOKUP($A84,'Pre-Assessment Estimator'!$A$10:$Z$228,S$2,FALSE)=0,"",VLOOKUP($A84,'Pre-Assessment Estimator'!$A$10:$Z$228,S$2,FALSE))</f>
        <v/>
      </c>
      <c r="T84" s="581"/>
      <c r="U84" s="580" t="str">
        <f>IF(VLOOKUP($A84,'Pre-Assessment Estimator'!$A$10:$Z$228,U$2,FALSE)=0,"",VLOOKUP($A84,'Pre-Assessment Estimator'!$A$10:$Z$228,U$2,FALSE))</f>
        <v/>
      </c>
      <c r="V84" s="575">
        <f>VLOOKUP($A84,'Pre-Assessment Estimator'!$A$10:$Z$228,V$2,FALSE)</f>
        <v>0</v>
      </c>
      <c r="W84" s="574" t="str">
        <f>VLOOKUP($A84,'Pre-Assessment Estimator'!$A$10:$Z$228,W$2,FALSE)</f>
        <v>N/A</v>
      </c>
      <c r="X84" s="577" t="str">
        <f>IF(VLOOKUP($A84,'Pre-Assessment Estimator'!$A$10:$Z$228,X$2,FALSE)=0,"",VLOOKUP($A84,'Pre-Assessment Estimator'!$A$10:$Z$228,X$2,FALSE))</f>
        <v/>
      </c>
      <c r="Y84" s="577" t="str">
        <f>IF(VLOOKUP($A84,'Pre-Assessment Estimator'!$A$10:$Z$228,Y$2,FALSE)=0,"",VLOOKUP($A84,'Pre-Assessment Estimator'!$A$10:$Z$228,Y$2,FALSE))</f>
        <v/>
      </c>
      <c r="Z84" s="370" t="str">
        <f>IF(VLOOKUP($A84,'Pre-Assessment Estimator'!$A$10:$Z$228,Z$2,FALSE)=0,"",VLOOKUP($A84,'Pre-Assessment Estimator'!$A$10:$Z$228,Z$2,FALSE))</f>
        <v/>
      </c>
      <c r="AA84" s="696">
        <v>72</v>
      </c>
      <c r="AB84" s="577"/>
      <c r="AF84" s="386">
        <f t="shared" ref="AF84:AF147" si="2">IF(F84="",1,IF(F84=0,2,1))</f>
        <v>1</v>
      </c>
    </row>
    <row r="85" spans="1:32" x14ac:dyDescent="0.25">
      <c r="A85" s="823">
        <v>76</v>
      </c>
      <c r="B85" s="1234" t="s">
        <v>65</v>
      </c>
      <c r="C85" s="1234"/>
      <c r="D85" s="1256" t="str">
        <f>VLOOKUP($A85,'Pre-Assessment Estimator'!$A$10:$Z$228,D$2,FALSE)</f>
        <v>Ene 06</v>
      </c>
      <c r="E85" s="1256" t="str">
        <f>VLOOKUP($A85,'Pre-Assessment Estimator'!$A$10:$Z$228,E$2,FALSE)</f>
        <v>Ene 06 Energy efficient transportation systems</v>
      </c>
      <c r="F85" s="574">
        <f>VLOOKUP($A85,'Pre-Assessment Estimator'!$A$10:$Z$228,F$2,FALSE)</f>
        <v>3</v>
      </c>
      <c r="G85" s="580" t="str">
        <f>IF(VLOOKUP($A85,'Pre-Assessment Estimator'!$A$10:$Z$228,G$2,FALSE)=0,"",VLOOKUP($A85,'Pre-Assessment Estimator'!$A$10:$Z$228,G$2,FALSE))</f>
        <v/>
      </c>
      <c r="H85" s="1220" t="str">
        <f>VLOOKUP($A85,'Pre-Assessment Estimator'!$A$10:$Z$228,H$2,FALSE)</f>
        <v>0 c. 0 %</v>
      </c>
      <c r="I85" s="576" t="str">
        <f>VLOOKUP($A85,'Pre-Assessment Estimator'!$A$10:$Z$228,I$2,FALSE)</f>
        <v>N/A</v>
      </c>
      <c r="J85" s="577" t="str">
        <f>IF(VLOOKUP($A85,'Pre-Assessment Estimator'!$A$10:$Z$228,J$2,FALSE)=0,"",VLOOKUP($A85,'Pre-Assessment Estimator'!$A$10:$Z$228,J$2,FALSE))</f>
        <v/>
      </c>
      <c r="K85" s="577" t="str">
        <f>IF(VLOOKUP($A85,'Pre-Assessment Estimator'!$A$10:$Z$228,K$2,FALSE)=0,"",VLOOKUP($A85,'Pre-Assessment Estimator'!$A$10:$Z$228,K$2,FALSE))</f>
        <v/>
      </c>
      <c r="L85" s="578" t="str">
        <f>IF(VLOOKUP($A85,'Pre-Assessment Estimator'!$A$10:$Z$228,L$2,FALSE)=0,"",VLOOKUP($A85,'Pre-Assessment Estimator'!$A$10:$Z$228,L$2,FALSE))</f>
        <v/>
      </c>
      <c r="M85" s="579"/>
      <c r="N85" s="580" t="str">
        <f>IF(VLOOKUP($A85,'Pre-Assessment Estimator'!$A$10:$Z$228,N$2,FALSE)=0,"",VLOOKUP($A85,'Pre-Assessment Estimator'!$A$10:$Z$228,N$2,FALSE))</f>
        <v/>
      </c>
      <c r="O85" s="575" t="str">
        <f>VLOOKUP($A85,'Pre-Assessment Estimator'!$A$10:$Z$228,O$2,FALSE)</f>
        <v>0 c. 0 %</v>
      </c>
      <c r="P85" s="574" t="str">
        <f>VLOOKUP($A85,'Pre-Assessment Estimator'!$A$10:$Z$228,P$2,FALSE)</f>
        <v>N/A</v>
      </c>
      <c r="Q85" s="577" t="str">
        <f>IF(VLOOKUP($A85,'Pre-Assessment Estimator'!$A$10:$Z$228,Q$2,FALSE)=0,"",VLOOKUP($A85,'Pre-Assessment Estimator'!$A$10:$Z$228,Q$2,FALSE))</f>
        <v/>
      </c>
      <c r="R85" s="577" t="str">
        <f>IF(VLOOKUP($A85,'Pre-Assessment Estimator'!$A$10:$Z$228,R$2,FALSE)=0,"",VLOOKUP($A85,'Pre-Assessment Estimator'!$A$10:$Z$228,R$2,FALSE))</f>
        <v/>
      </c>
      <c r="S85" s="578" t="str">
        <f>IF(VLOOKUP($A85,'Pre-Assessment Estimator'!$A$10:$Z$228,S$2,FALSE)=0,"",VLOOKUP($A85,'Pre-Assessment Estimator'!$A$10:$Z$228,S$2,FALSE))</f>
        <v/>
      </c>
      <c r="T85" s="581"/>
      <c r="U85" s="580" t="str">
        <f>IF(VLOOKUP($A85,'Pre-Assessment Estimator'!$A$10:$Z$228,U$2,FALSE)=0,"",VLOOKUP($A85,'Pre-Assessment Estimator'!$A$10:$Z$228,U$2,FALSE))</f>
        <v/>
      </c>
      <c r="V85" s="575" t="str">
        <f>VLOOKUP($A85,'Pre-Assessment Estimator'!$A$10:$Z$228,V$2,FALSE)</f>
        <v>0 c. 0 %</v>
      </c>
      <c r="W85" s="574" t="str">
        <f>VLOOKUP($A85,'Pre-Assessment Estimator'!$A$10:$Z$228,W$2,FALSE)</f>
        <v>N/A</v>
      </c>
      <c r="X85" s="577" t="str">
        <f>IF(VLOOKUP($A85,'Pre-Assessment Estimator'!$A$10:$Z$228,X$2,FALSE)=0,"",VLOOKUP($A85,'Pre-Assessment Estimator'!$A$10:$Z$228,X$2,FALSE))</f>
        <v/>
      </c>
      <c r="Y85" s="577" t="str">
        <f>IF(VLOOKUP($A85,'Pre-Assessment Estimator'!$A$10:$Z$228,Y$2,FALSE)=0,"",VLOOKUP($A85,'Pre-Assessment Estimator'!$A$10:$Z$228,Y$2,FALSE))</f>
        <v/>
      </c>
      <c r="Z85" s="370" t="str">
        <f>IF(VLOOKUP($A85,'Pre-Assessment Estimator'!$A$10:$Z$228,Z$2,FALSE)=0,"",VLOOKUP($A85,'Pre-Assessment Estimator'!$A$10:$Z$228,Z$2,FALSE))</f>
        <v/>
      </c>
      <c r="AA85" s="696">
        <v>73</v>
      </c>
      <c r="AB85" s="577"/>
      <c r="AF85" s="386">
        <f t="shared" si="2"/>
        <v>1</v>
      </c>
    </row>
    <row r="86" spans="1:32" x14ac:dyDescent="0.25">
      <c r="A86" s="823">
        <v>77</v>
      </c>
      <c r="B86" s="1234" t="s">
        <v>65</v>
      </c>
      <c r="C86" s="1234"/>
      <c r="D86" s="1257" t="str">
        <f>VLOOKUP($A86,'Pre-Assessment Estimator'!$A$10:$Z$228,D$2,FALSE)</f>
        <v>Ene 06</v>
      </c>
      <c r="E86" s="1258" t="str">
        <f>VLOOKUP($A86,'Pre-Assessment Estimator'!$A$10:$Z$228,E$2,FALSE)</f>
        <v>Transport needs and usage patterns</v>
      </c>
      <c r="F86" s="574">
        <f>VLOOKUP($A86,'Pre-Assessment Estimator'!$A$10:$Z$228,F$2,FALSE)</f>
        <v>1</v>
      </c>
      <c r="G86" s="580" t="str">
        <f>IF(VLOOKUP($A86,'Pre-Assessment Estimator'!$A$10:$Z$228,G$2,FALSE)=0,"",VLOOKUP($A86,'Pre-Assessment Estimator'!$A$10:$Z$228,G$2,FALSE))</f>
        <v/>
      </c>
      <c r="H86" s="1220">
        <f>VLOOKUP($A86,'Pre-Assessment Estimator'!$A$10:$Z$228,H$2,FALSE)</f>
        <v>0</v>
      </c>
      <c r="I86" s="576" t="str">
        <f>VLOOKUP($A86,'Pre-Assessment Estimator'!$A$10:$Z$228,I$2,FALSE)</f>
        <v>N/A</v>
      </c>
      <c r="J86" s="577" t="str">
        <f>IF(VLOOKUP($A86,'Pre-Assessment Estimator'!$A$10:$Z$228,J$2,FALSE)=0,"",VLOOKUP($A86,'Pre-Assessment Estimator'!$A$10:$Z$228,J$2,FALSE))</f>
        <v/>
      </c>
      <c r="K86" s="577" t="str">
        <f>IF(VLOOKUP($A86,'Pre-Assessment Estimator'!$A$10:$Z$228,K$2,FALSE)=0,"",VLOOKUP($A86,'Pre-Assessment Estimator'!$A$10:$Z$228,K$2,FALSE))</f>
        <v/>
      </c>
      <c r="L86" s="578" t="str">
        <f>IF(VLOOKUP($A86,'Pre-Assessment Estimator'!$A$10:$Z$228,L$2,FALSE)=0,"",VLOOKUP($A86,'Pre-Assessment Estimator'!$A$10:$Z$228,L$2,FALSE))</f>
        <v/>
      </c>
      <c r="M86" s="579"/>
      <c r="N86" s="580" t="str">
        <f>IF(VLOOKUP($A86,'Pre-Assessment Estimator'!$A$10:$Z$228,N$2,FALSE)=0,"",VLOOKUP($A86,'Pre-Assessment Estimator'!$A$10:$Z$228,N$2,FALSE))</f>
        <v/>
      </c>
      <c r="O86" s="575">
        <f>VLOOKUP($A86,'Pre-Assessment Estimator'!$A$10:$Z$228,O$2,FALSE)</f>
        <v>0</v>
      </c>
      <c r="P86" s="574" t="str">
        <f>VLOOKUP($A86,'Pre-Assessment Estimator'!$A$10:$Z$228,P$2,FALSE)</f>
        <v>N/A</v>
      </c>
      <c r="Q86" s="577" t="str">
        <f>IF(VLOOKUP($A86,'Pre-Assessment Estimator'!$A$10:$Z$228,Q$2,FALSE)=0,"",VLOOKUP($A86,'Pre-Assessment Estimator'!$A$10:$Z$228,Q$2,FALSE))</f>
        <v/>
      </c>
      <c r="R86" s="577" t="str">
        <f>IF(VLOOKUP($A86,'Pre-Assessment Estimator'!$A$10:$Z$228,R$2,FALSE)=0,"",VLOOKUP($A86,'Pre-Assessment Estimator'!$A$10:$Z$228,R$2,FALSE))</f>
        <v/>
      </c>
      <c r="S86" s="578" t="str">
        <f>IF(VLOOKUP($A86,'Pre-Assessment Estimator'!$A$10:$Z$228,S$2,FALSE)=0,"",VLOOKUP($A86,'Pre-Assessment Estimator'!$A$10:$Z$228,S$2,FALSE))</f>
        <v/>
      </c>
      <c r="T86" s="581"/>
      <c r="U86" s="580" t="str">
        <f>IF(VLOOKUP($A86,'Pre-Assessment Estimator'!$A$10:$Z$228,U$2,FALSE)=0,"",VLOOKUP($A86,'Pre-Assessment Estimator'!$A$10:$Z$228,U$2,FALSE))</f>
        <v/>
      </c>
      <c r="V86" s="575">
        <f>VLOOKUP($A86,'Pre-Assessment Estimator'!$A$10:$Z$228,V$2,FALSE)</f>
        <v>0</v>
      </c>
      <c r="W86" s="574" t="str">
        <f>VLOOKUP($A86,'Pre-Assessment Estimator'!$A$10:$Z$228,W$2,FALSE)</f>
        <v>N/A</v>
      </c>
      <c r="X86" s="577" t="str">
        <f>IF(VLOOKUP($A86,'Pre-Assessment Estimator'!$A$10:$Z$228,X$2,FALSE)=0,"",VLOOKUP($A86,'Pre-Assessment Estimator'!$A$10:$Z$228,X$2,FALSE))</f>
        <v/>
      </c>
      <c r="Y86" s="577" t="str">
        <f>IF(VLOOKUP($A86,'Pre-Assessment Estimator'!$A$10:$Z$228,Y$2,FALSE)=0,"",VLOOKUP($A86,'Pre-Assessment Estimator'!$A$10:$Z$228,Y$2,FALSE))</f>
        <v/>
      </c>
      <c r="Z86" s="370" t="str">
        <f>IF(VLOOKUP($A86,'Pre-Assessment Estimator'!$A$10:$Z$228,Z$2,FALSE)=0,"",VLOOKUP($A86,'Pre-Assessment Estimator'!$A$10:$Z$228,Z$2,FALSE))</f>
        <v/>
      </c>
      <c r="AA86" s="696">
        <v>74</v>
      </c>
      <c r="AB86" s="577"/>
      <c r="AF86" s="386">
        <f t="shared" si="2"/>
        <v>1</v>
      </c>
    </row>
    <row r="87" spans="1:32" x14ac:dyDescent="0.25">
      <c r="A87" s="823">
        <v>78</v>
      </c>
      <c r="B87" s="1234" t="s">
        <v>65</v>
      </c>
      <c r="C87" s="1234"/>
      <c r="D87" s="1257" t="str">
        <f>VLOOKUP($A87,'Pre-Assessment Estimator'!$A$10:$Z$228,D$2,FALSE)</f>
        <v>Ene 06</v>
      </c>
      <c r="E87" s="1258" t="str">
        <f>VLOOKUP($A87,'Pre-Assessment Estimator'!$A$10:$Z$228,E$2,FALSE)</f>
        <v>Energy efficient features: lifts</v>
      </c>
      <c r="F87" s="574">
        <f>VLOOKUP($A87,'Pre-Assessment Estimator'!$A$10:$Z$228,F$2,FALSE)</f>
        <v>1</v>
      </c>
      <c r="G87" s="580" t="str">
        <f>IF(VLOOKUP($A87,'Pre-Assessment Estimator'!$A$10:$Z$228,G$2,FALSE)=0,"",VLOOKUP($A87,'Pre-Assessment Estimator'!$A$10:$Z$228,G$2,FALSE))</f>
        <v/>
      </c>
      <c r="H87" s="1220">
        <f>VLOOKUP($A87,'Pre-Assessment Estimator'!$A$10:$Z$228,H$2,FALSE)</f>
        <v>0</v>
      </c>
      <c r="I87" s="576" t="str">
        <f>VLOOKUP($A87,'Pre-Assessment Estimator'!$A$10:$Z$228,I$2,FALSE)</f>
        <v>N/A</v>
      </c>
      <c r="J87" s="577" t="str">
        <f>IF(VLOOKUP($A87,'Pre-Assessment Estimator'!$A$10:$Z$228,J$2,FALSE)=0,"",VLOOKUP($A87,'Pre-Assessment Estimator'!$A$10:$Z$228,J$2,FALSE))</f>
        <v/>
      </c>
      <c r="K87" s="577" t="str">
        <f>IF(VLOOKUP($A87,'Pre-Assessment Estimator'!$A$10:$Z$228,K$2,FALSE)=0,"",VLOOKUP($A87,'Pre-Assessment Estimator'!$A$10:$Z$228,K$2,FALSE))</f>
        <v/>
      </c>
      <c r="L87" s="578" t="str">
        <f>IF(VLOOKUP($A87,'Pre-Assessment Estimator'!$A$10:$Z$228,L$2,FALSE)=0,"",VLOOKUP($A87,'Pre-Assessment Estimator'!$A$10:$Z$228,L$2,FALSE))</f>
        <v/>
      </c>
      <c r="M87" s="579"/>
      <c r="N87" s="580" t="str">
        <f>IF(VLOOKUP($A87,'Pre-Assessment Estimator'!$A$10:$Z$228,N$2,FALSE)=0,"",VLOOKUP($A87,'Pre-Assessment Estimator'!$A$10:$Z$228,N$2,FALSE))</f>
        <v/>
      </c>
      <c r="O87" s="575">
        <f>VLOOKUP($A87,'Pre-Assessment Estimator'!$A$10:$Z$228,O$2,FALSE)</f>
        <v>0</v>
      </c>
      <c r="P87" s="574" t="str">
        <f>VLOOKUP($A87,'Pre-Assessment Estimator'!$A$10:$Z$228,P$2,FALSE)</f>
        <v>N/A</v>
      </c>
      <c r="Q87" s="577" t="str">
        <f>IF(VLOOKUP($A87,'Pre-Assessment Estimator'!$A$10:$Z$228,Q$2,FALSE)=0,"",VLOOKUP($A87,'Pre-Assessment Estimator'!$A$10:$Z$228,Q$2,FALSE))</f>
        <v/>
      </c>
      <c r="R87" s="577" t="str">
        <f>IF(VLOOKUP($A87,'Pre-Assessment Estimator'!$A$10:$Z$228,R$2,FALSE)=0,"",VLOOKUP($A87,'Pre-Assessment Estimator'!$A$10:$Z$228,R$2,FALSE))</f>
        <v/>
      </c>
      <c r="S87" s="578" t="str">
        <f>IF(VLOOKUP($A87,'Pre-Assessment Estimator'!$A$10:$Z$228,S$2,FALSE)=0,"",VLOOKUP($A87,'Pre-Assessment Estimator'!$A$10:$Z$228,S$2,FALSE))</f>
        <v/>
      </c>
      <c r="T87" s="581"/>
      <c r="U87" s="580" t="str">
        <f>IF(VLOOKUP($A87,'Pre-Assessment Estimator'!$A$10:$Z$228,U$2,FALSE)=0,"",VLOOKUP($A87,'Pre-Assessment Estimator'!$A$10:$Z$228,U$2,FALSE))</f>
        <v/>
      </c>
      <c r="V87" s="575">
        <f>VLOOKUP($A87,'Pre-Assessment Estimator'!$A$10:$Z$228,V$2,FALSE)</f>
        <v>0</v>
      </c>
      <c r="W87" s="574" t="str">
        <f>VLOOKUP($A87,'Pre-Assessment Estimator'!$A$10:$Z$228,W$2,FALSE)</f>
        <v>N/A</v>
      </c>
      <c r="X87" s="577" t="str">
        <f>IF(VLOOKUP($A87,'Pre-Assessment Estimator'!$A$10:$Z$228,X$2,FALSE)=0,"",VLOOKUP($A87,'Pre-Assessment Estimator'!$A$10:$Z$228,X$2,FALSE))</f>
        <v/>
      </c>
      <c r="Y87" s="577" t="str">
        <f>IF(VLOOKUP($A87,'Pre-Assessment Estimator'!$A$10:$Z$228,Y$2,FALSE)=0,"",VLOOKUP($A87,'Pre-Assessment Estimator'!$A$10:$Z$228,Y$2,FALSE))</f>
        <v/>
      </c>
      <c r="Z87" s="370" t="str">
        <f>IF(VLOOKUP($A87,'Pre-Assessment Estimator'!$A$10:$Z$228,Z$2,FALSE)=0,"",VLOOKUP($A87,'Pre-Assessment Estimator'!$A$10:$Z$228,Z$2,FALSE))</f>
        <v/>
      </c>
      <c r="AA87" s="696">
        <v>75</v>
      </c>
      <c r="AB87" s="577"/>
      <c r="AF87" s="386">
        <f t="shared" si="2"/>
        <v>1</v>
      </c>
    </row>
    <row r="88" spans="1:32" x14ac:dyDescent="0.25">
      <c r="A88" s="823">
        <v>79</v>
      </c>
      <c r="B88" s="1234" t="s">
        <v>65</v>
      </c>
      <c r="C88" s="1234"/>
      <c r="D88" s="1257" t="str">
        <f>VLOOKUP($A88,'Pre-Assessment Estimator'!$A$10:$Z$228,D$2,FALSE)</f>
        <v>Ene 06</v>
      </c>
      <c r="E88" s="1258" t="str">
        <f>VLOOKUP($A88,'Pre-Assessment Estimator'!$A$10:$Z$228,E$2,FALSE)</f>
        <v>Energy efficient features: escalators or moving walks</v>
      </c>
      <c r="F88" s="574">
        <f>VLOOKUP($A88,'Pre-Assessment Estimator'!$A$10:$Z$228,F$2,FALSE)</f>
        <v>1</v>
      </c>
      <c r="G88" s="580" t="str">
        <f>IF(VLOOKUP($A88,'Pre-Assessment Estimator'!$A$10:$Z$228,G$2,FALSE)=0,"",VLOOKUP($A88,'Pre-Assessment Estimator'!$A$10:$Z$228,G$2,FALSE))</f>
        <v/>
      </c>
      <c r="H88" s="1220">
        <f>VLOOKUP($A88,'Pre-Assessment Estimator'!$A$10:$Z$228,H$2,FALSE)</f>
        <v>0</v>
      </c>
      <c r="I88" s="576" t="str">
        <f>VLOOKUP($A88,'Pre-Assessment Estimator'!$A$10:$Z$228,I$2,FALSE)</f>
        <v>N/A</v>
      </c>
      <c r="J88" s="577" t="str">
        <f>IF(VLOOKUP($A88,'Pre-Assessment Estimator'!$A$10:$Z$228,J$2,FALSE)=0,"",VLOOKUP($A88,'Pre-Assessment Estimator'!$A$10:$Z$228,J$2,FALSE))</f>
        <v/>
      </c>
      <c r="K88" s="577" t="str">
        <f>IF(VLOOKUP($A88,'Pre-Assessment Estimator'!$A$10:$Z$228,K$2,FALSE)=0,"",VLOOKUP($A88,'Pre-Assessment Estimator'!$A$10:$Z$228,K$2,FALSE))</f>
        <v/>
      </c>
      <c r="L88" s="578" t="str">
        <f>IF(VLOOKUP($A88,'Pre-Assessment Estimator'!$A$10:$Z$228,L$2,FALSE)=0,"",VLOOKUP($A88,'Pre-Assessment Estimator'!$A$10:$Z$228,L$2,FALSE))</f>
        <v/>
      </c>
      <c r="M88" s="579"/>
      <c r="N88" s="580" t="str">
        <f>IF(VLOOKUP($A88,'Pre-Assessment Estimator'!$A$10:$Z$228,N$2,FALSE)=0,"",VLOOKUP($A88,'Pre-Assessment Estimator'!$A$10:$Z$228,N$2,FALSE))</f>
        <v/>
      </c>
      <c r="O88" s="575">
        <f>VLOOKUP($A88,'Pre-Assessment Estimator'!$A$10:$Z$228,O$2,FALSE)</f>
        <v>0</v>
      </c>
      <c r="P88" s="574" t="str">
        <f>VLOOKUP($A88,'Pre-Assessment Estimator'!$A$10:$Z$228,P$2,FALSE)</f>
        <v>N/A</v>
      </c>
      <c r="Q88" s="577" t="str">
        <f>IF(VLOOKUP($A88,'Pre-Assessment Estimator'!$A$10:$Z$228,Q$2,FALSE)=0,"",VLOOKUP($A88,'Pre-Assessment Estimator'!$A$10:$Z$228,Q$2,FALSE))</f>
        <v/>
      </c>
      <c r="R88" s="577" t="str">
        <f>IF(VLOOKUP($A88,'Pre-Assessment Estimator'!$A$10:$Z$228,R$2,FALSE)=0,"",VLOOKUP($A88,'Pre-Assessment Estimator'!$A$10:$Z$228,R$2,FALSE))</f>
        <v/>
      </c>
      <c r="S88" s="578" t="str">
        <f>IF(VLOOKUP($A88,'Pre-Assessment Estimator'!$A$10:$Z$228,S$2,FALSE)=0,"",VLOOKUP($A88,'Pre-Assessment Estimator'!$A$10:$Z$228,S$2,FALSE))</f>
        <v/>
      </c>
      <c r="T88" s="581"/>
      <c r="U88" s="580" t="str">
        <f>IF(VLOOKUP($A88,'Pre-Assessment Estimator'!$A$10:$Z$228,U$2,FALSE)=0,"",VLOOKUP($A88,'Pre-Assessment Estimator'!$A$10:$Z$228,U$2,FALSE))</f>
        <v/>
      </c>
      <c r="V88" s="575">
        <f>VLOOKUP($A88,'Pre-Assessment Estimator'!$A$10:$Z$228,V$2,FALSE)</f>
        <v>0</v>
      </c>
      <c r="W88" s="574" t="str">
        <f>VLOOKUP($A88,'Pre-Assessment Estimator'!$A$10:$Z$228,W$2,FALSE)</f>
        <v>N/A</v>
      </c>
      <c r="X88" s="577" t="str">
        <f>IF(VLOOKUP($A88,'Pre-Assessment Estimator'!$A$10:$Z$228,X$2,FALSE)=0,"",VLOOKUP($A88,'Pre-Assessment Estimator'!$A$10:$Z$228,X$2,FALSE))</f>
        <v/>
      </c>
      <c r="Y88" s="577" t="str">
        <f>IF(VLOOKUP($A88,'Pre-Assessment Estimator'!$A$10:$Z$228,Y$2,FALSE)=0,"",VLOOKUP($A88,'Pre-Assessment Estimator'!$A$10:$Z$228,Y$2,FALSE))</f>
        <v/>
      </c>
      <c r="Z88" s="370" t="str">
        <f>IF(VLOOKUP($A88,'Pre-Assessment Estimator'!$A$10:$Z$228,Z$2,FALSE)=0,"",VLOOKUP($A88,'Pre-Assessment Estimator'!$A$10:$Z$228,Z$2,FALSE))</f>
        <v/>
      </c>
      <c r="AA88" s="696">
        <v>76</v>
      </c>
      <c r="AB88" s="577"/>
      <c r="AF88" s="386">
        <f t="shared" si="2"/>
        <v>1</v>
      </c>
    </row>
    <row r="89" spans="1:32" x14ac:dyDescent="0.25">
      <c r="A89" s="823">
        <v>80</v>
      </c>
      <c r="B89" s="1234" t="s">
        <v>65</v>
      </c>
      <c r="C89" s="1234"/>
      <c r="D89" s="1256" t="str">
        <f>VLOOKUP($A89,'Pre-Assessment Estimator'!$A$10:$Z$228,D$2,FALSE)</f>
        <v>Ene 07</v>
      </c>
      <c r="E89" s="1256" t="str">
        <f>VLOOKUP($A89,'Pre-Assessment Estimator'!$A$10:$Z$228,E$2,FALSE)</f>
        <v>Ene 07 Energy Efficient Laboratory Systems</v>
      </c>
      <c r="F89" s="574">
        <f>VLOOKUP($A89,'Pre-Assessment Estimator'!$A$10:$Z$228,F$2,FALSE)</f>
        <v>5</v>
      </c>
      <c r="G89" s="580" t="str">
        <f>IF(VLOOKUP($A89,'Pre-Assessment Estimator'!$A$10:$Z$228,G$2,FALSE)=0,"",VLOOKUP($A89,'Pre-Assessment Estimator'!$A$10:$Z$228,G$2,FALSE))</f>
        <v/>
      </c>
      <c r="H89" s="1220" t="str">
        <f>VLOOKUP($A89,'Pre-Assessment Estimator'!$A$10:$Z$228,H$2,FALSE)</f>
        <v>0 c. 0 %</v>
      </c>
      <c r="I89" s="576" t="str">
        <f>VLOOKUP($A89,'Pre-Assessment Estimator'!$A$10:$Z$228,I$2,FALSE)</f>
        <v>N/A</v>
      </c>
      <c r="J89" s="577" t="str">
        <f>IF(VLOOKUP($A89,'Pre-Assessment Estimator'!$A$10:$Z$228,J$2,FALSE)=0,"",VLOOKUP($A89,'Pre-Assessment Estimator'!$A$10:$Z$228,J$2,FALSE))</f>
        <v/>
      </c>
      <c r="K89" s="577" t="str">
        <f>IF(VLOOKUP($A89,'Pre-Assessment Estimator'!$A$10:$Z$228,K$2,FALSE)=0,"",VLOOKUP($A89,'Pre-Assessment Estimator'!$A$10:$Z$228,K$2,FALSE))</f>
        <v/>
      </c>
      <c r="L89" s="578" t="str">
        <f>IF(VLOOKUP($A89,'Pre-Assessment Estimator'!$A$10:$Z$228,L$2,FALSE)=0,"",VLOOKUP($A89,'Pre-Assessment Estimator'!$A$10:$Z$228,L$2,FALSE))</f>
        <v/>
      </c>
      <c r="M89" s="579"/>
      <c r="N89" s="580" t="str">
        <f>IF(VLOOKUP($A89,'Pre-Assessment Estimator'!$A$10:$Z$228,N$2,FALSE)=0,"",VLOOKUP($A89,'Pre-Assessment Estimator'!$A$10:$Z$228,N$2,FALSE))</f>
        <v/>
      </c>
      <c r="O89" s="575" t="str">
        <f>VLOOKUP($A89,'Pre-Assessment Estimator'!$A$10:$Z$228,O$2,FALSE)</f>
        <v>0 c. 0 %</v>
      </c>
      <c r="P89" s="574" t="str">
        <f>VLOOKUP($A89,'Pre-Assessment Estimator'!$A$10:$Z$228,P$2,FALSE)</f>
        <v>N/A</v>
      </c>
      <c r="Q89" s="577" t="str">
        <f>IF(VLOOKUP($A89,'Pre-Assessment Estimator'!$A$10:$Z$228,Q$2,FALSE)=0,"",VLOOKUP($A89,'Pre-Assessment Estimator'!$A$10:$Z$228,Q$2,FALSE))</f>
        <v/>
      </c>
      <c r="R89" s="577" t="str">
        <f>IF(VLOOKUP($A89,'Pre-Assessment Estimator'!$A$10:$Z$228,R$2,FALSE)=0,"",VLOOKUP($A89,'Pre-Assessment Estimator'!$A$10:$Z$228,R$2,FALSE))</f>
        <v/>
      </c>
      <c r="S89" s="578" t="str">
        <f>IF(VLOOKUP($A89,'Pre-Assessment Estimator'!$A$10:$Z$228,S$2,FALSE)=0,"",VLOOKUP($A89,'Pre-Assessment Estimator'!$A$10:$Z$228,S$2,FALSE))</f>
        <v/>
      </c>
      <c r="T89" s="581"/>
      <c r="U89" s="580" t="str">
        <f>IF(VLOOKUP($A89,'Pre-Assessment Estimator'!$A$10:$Z$228,U$2,FALSE)=0,"",VLOOKUP($A89,'Pre-Assessment Estimator'!$A$10:$Z$228,U$2,FALSE))</f>
        <v/>
      </c>
      <c r="V89" s="575" t="str">
        <f>VLOOKUP($A89,'Pre-Assessment Estimator'!$A$10:$Z$228,V$2,FALSE)</f>
        <v>0 c. 0 %</v>
      </c>
      <c r="W89" s="574" t="str">
        <f>VLOOKUP($A89,'Pre-Assessment Estimator'!$A$10:$Z$228,W$2,FALSE)</f>
        <v>N/A</v>
      </c>
      <c r="X89" s="577" t="str">
        <f>IF(VLOOKUP($A89,'Pre-Assessment Estimator'!$A$10:$Z$228,X$2,FALSE)=0,"",VLOOKUP($A89,'Pre-Assessment Estimator'!$A$10:$Z$228,X$2,FALSE))</f>
        <v/>
      </c>
      <c r="Y89" s="577" t="str">
        <f>IF(VLOOKUP($A89,'Pre-Assessment Estimator'!$A$10:$Z$228,Y$2,FALSE)=0,"",VLOOKUP($A89,'Pre-Assessment Estimator'!$A$10:$Z$228,Y$2,FALSE))</f>
        <v/>
      </c>
      <c r="Z89" s="370" t="str">
        <f>IF(VLOOKUP($A89,'Pre-Assessment Estimator'!$A$10:$Z$228,Z$2,FALSE)=0,"",VLOOKUP($A89,'Pre-Assessment Estimator'!$A$10:$Z$228,Z$2,FALSE))</f>
        <v/>
      </c>
      <c r="AA89" s="696">
        <v>77</v>
      </c>
      <c r="AB89" s="577"/>
      <c r="AF89" s="386">
        <f t="shared" si="2"/>
        <v>1</v>
      </c>
    </row>
    <row r="90" spans="1:32" x14ac:dyDescent="0.25">
      <c r="A90" s="823">
        <v>81</v>
      </c>
      <c r="B90" s="1234" t="s">
        <v>65</v>
      </c>
      <c r="C90" s="1234"/>
      <c r="D90" s="1257" t="str">
        <f>VLOOKUP($A90,'Pre-Assessment Estimator'!$A$10:$Z$228,D$2,FALSE)</f>
        <v>Ene 07</v>
      </c>
      <c r="E90" s="1258" t="str">
        <f>VLOOKUP($A90,'Pre-Assessment Estimator'!$A$10:$Z$228,E$2,FALSE)</f>
        <v xml:space="preserve">Design specification </v>
      </c>
      <c r="F90" s="574">
        <f>VLOOKUP($A90,'Pre-Assessment Estimator'!$A$10:$Z$228,F$2,FALSE)</f>
        <v>1</v>
      </c>
      <c r="G90" s="580" t="str">
        <f>IF(VLOOKUP($A90,'Pre-Assessment Estimator'!$A$10:$Z$228,G$2,FALSE)=0,"",VLOOKUP($A90,'Pre-Assessment Estimator'!$A$10:$Z$228,G$2,FALSE))</f>
        <v/>
      </c>
      <c r="H90" s="1220">
        <f>VLOOKUP($A90,'Pre-Assessment Estimator'!$A$10:$Z$228,H$2,FALSE)</f>
        <v>0</v>
      </c>
      <c r="I90" s="576" t="str">
        <f>VLOOKUP($A90,'Pre-Assessment Estimator'!$A$10:$Z$228,I$2,FALSE)</f>
        <v>Unclassified</v>
      </c>
      <c r="J90" s="577" t="str">
        <f>IF(VLOOKUP($A90,'Pre-Assessment Estimator'!$A$10:$Z$228,J$2,FALSE)=0,"",VLOOKUP($A90,'Pre-Assessment Estimator'!$A$10:$Z$228,J$2,FALSE))</f>
        <v/>
      </c>
      <c r="K90" s="577" t="str">
        <f>IF(VLOOKUP($A90,'Pre-Assessment Estimator'!$A$10:$Z$228,K$2,FALSE)=0,"",VLOOKUP($A90,'Pre-Assessment Estimator'!$A$10:$Z$228,K$2,FALSE))</f>
        <v/>
      </c>
      <c r="L90" s="578" t="str">
        <f>IF(VLOOKUP($A90,'Pre-Assessment Estimator'!$A$10:$Z$228,L$2,FALSE)=0,"",VLOOKUP($A90,'Pre-Assessment Estimator'!$A$10:$Z$228,L$2,FALSE))</f>
        <v/>
      </c>
      <c r="M90" s="579"/>
      <c r="N90" s="580" t="str">
        <f>IF(VLOOKUP($A90,'Pre-Assessment Estimator'!$A$10:$Z$228,N$2,FALSE)=0,"",VLOOKUP($A90,'Pre-Assessment Estimator'!$A$10:$Z$228,N$2,FALSE))</f>
        <v/>
      </c>
      <c r="O90" s="575">
        <f>VLOOKUP($A90,'Pre-Assessment Estimator'!$A$10:$Z$228,O$2,FALSE)</f>
        <v>0</v>
      </c>
      <c r="P90" s="574" t="str">
        <f>VLOOKUP($A90,'Pre-Assessment Estimator'!$A$10:$Z$228,P$2,FALSE)</f>
        <v>Unclassified</v>
      </c>
      <c r="Q90" s="577" t="str">
        <f>IF(VLOOKUP($A90,'Pre-Assessment Estimator'!$A$10:$Z$228,Q$2,FALSE)=0,"",VLOOKUP($A90,'Pre-Assessment Estimator'!$A$10:$Z$228,Q$2,FALSE))</f>
        <v/>
      </c>
      <c r="R90" s="577" t="str">
        <f>IF(VLOOKUP($A90,'Pre-Assessment Estimator'!$A$10:$Z$228,R$2,FALSE)=0,"",VLOOKUP($A90,'Pre-Assessment Estimator'!$A$10:$Z$228,R$2,FALSE))</f>
        <v/>
      </c>
      <c r="S90" s="578" t="str">
        <f>IF(VLOOKUP($A90,'Pre-Assessment Estimator'!$A$10:$Z$228,S$2,FALSE)=0,"",VLOOKUP($A90,'Pre-Assessment Estimator'!$A$10:$Z$228,S$2,FALSE))</f>
        <v/>
      </c>
      <c r="T90" s="581"/>
      <c r="U90" s="580" t="str">
        <f>IF(VLOOKUP($A90,'Pre-Assessment Estimator'!$A$10:$Z$228,U$2,FALSE)=0,"",VLOOKUP($A90,'Pre-Assessment Estimator'!$A$10:$Z$228,U$2,FALSE))</f>
        <v/>
      </c>
      <c r="V90" s="575">
        <f>VLOOKUP($A90,'Pre-Assessment Estimator'!$A$10:$Z$228,V$2,FALSE)</f>
        <v>0</v>
      </c>
      <c r="W90" s="574" t="str">
        <f>VLOOKUP($A90,'Pre-Assessment Estimator'!$A$10:$Z$228,W$2,FALSE)</f>
        <v>Unclassified</v>
      </c>
      <c r="X90" s="577" t="str">
        <f>IF(VLOOKUP($A90,'Pre-Assessment Estimator'!$A$10:$Z$228,X$2,FALSE)=0,"",VLOOKUP($A90,'Pre-Assessment Estimator'!$A$10:$Z$228,X$2,FALSE))</f>
        <v/>
      </c>
      <c r="Y90" s="577" t="str">
        <f>IF(VLOOKUP($A90,'Pre-Assessment Estimator'!$A$10:$Z$228,Y$2,FALSE)=0,"",VLOOKUP($A90,'Pre-Assessment Estimator'!$A$10:$Z$228,Y$2,FALSE))</f>
        <v/>
      </c>
      <c r="Z90" s="370" t="str">
        <f>IF(VLOOKUP($A90,'Pre-Assessment Estimator'!$A$10:$Z$228,Z$2,FALSE)=0,"",VLOOKUP($A90,'Pre-Assessment Estimator'!$A$10:$Z$228,Z$2,FALSE))</f>
        <v/>
      </c>
      <c r="AA90" s="696">
        <v>78</v>
      </c>
      <c r="AB90" s="577"/>
      <c r="AF90" s="386">
        <f t="shared" si="2"/>
        <v>1</v>
      </c>
    </row>
    <row r="91" spans="1:32" x14ac:dyDescent="0.25">
      <c r="A91" s="823">
        <v>82</v>
      </c>
      <c r="B91" s="1234" t="s">
        <v>65</v>
      </c>
      <c r="C91" s="1234"/>
      <c r="D91" s="1257" t="str">
        <f>VLOOKUP($A91,'Pre-Assessment Estimator'!$A$10:$Z$228,D$2,FALSE)</f>
        <v>Ene 07</v>
      </c>
      <c r="E91" s="1258" t="str">
        <f>VLOOKUP($A91,'Pre-Assessment Estimator'!$A$10:$Z$228,E$2,FALSE)</f>
        <v xml:space="preserve">Best practice energy efficient measures </v>
      </c>
      <c r="F91" s="574">
        <f>VLOOKUP($A91,'Pre-Assessment Estimator'!$A$10:$Z$228,F$2,FALSE)</f>
        <v>4</v>
      </c>
      <c r="G91" s="580" t="str">
        <f>IF(VLOOKUP($A91,'Pre-Assessment Estimator'!$A$10:$Z$228,G$2,FALSE)=0,"",VLOOKUP($A91,'Pre-Assessment Estimator'!$A$10:$Z$228,G$2,FALSE))</f>
        <v/>
      </c>
      <c r="H91" s="1220">
        <f>VLOOKUP($A91,'Pre-Assessment Estimator'!$A$10:$Z$228,H$2,FALSE)</f>
        <v>0</v>
      </c>
      <c r="I91" s="576" t="str">
        <f>VLOOKUP($A91,'Pre-Assessment Estimator'!$A$10:$Z$228,I$2,FALSE)</f>
        <v>N/A</v>
      </c>
      <c r="J91" s="577" t="str">
        <f>IF(VLOOKUP($A91,'Pre-Assessment Estimator'!$A$10:$Z$228,J$2,FALSE)=0,"",VLOOKUP($A91,'Pre-Assessment Estimator'!$A$10:$Z$228,J$2,FALSE))</f>
        <v/>
      </c>
      <c r="K91" s="577" t="str">
        <f>IF(VLOOKUP($A91,'Pre-Assessment Estimator'!$A$10:$Z$228,K$2,FALSE)=0,"",VLOOKUP($A91,'Pre-Assessment Estimator'!$A$10:$Z$228,K$2,FALSE))</f>
        <v/>
      </c>
      <c r="L91" s="578" t="str">
        <f>IF(VLOOKUP($A91,'Pre-Assessment Estimator'!$A$10:$Z$228,L$2,FALSE)=0,"",VLOOKUP($A91,'Pre-Assessment Estimator'!$A$10:$Z$228,L$2,FALSE))</f>
        <v/>
      </c>
      <c r="M91" s="579"/>
      <c r="N91" s="580" t="str">
        <f>IF(VLOOKUP($A91,'Pre-Assessment Estimator'!$A$10:$Z$228,N$2,FALSE)=0,"",VLOOKUP($A91,'Pre-Assessment Estimator'!$A$10:$Z$228,N$2,FALSE))</f>
        <v/>
      </c>
      <c r="O91" s="575">
        <f>VLOOKUP($A91,'Pre-Assessment Estimator'!$A$10:$Z$228,O$2,FALSE)</f>
        <v>0</v>
      </c>
      <c r="P91" s="574" t="str">
        <f>VLOOKUP($A91,'Pre-Assessment Estimator'!$A$10:$Z$228,P$2,FALSE)</f>
        <v>N/A</v>
      </c>
      <c r="Q91" s="577" t="str">
        <f>IF(VLOOKUP($A91,'Pre-Assessment Estimator'!$A$10:$Z$228,Q$2,FALSE)=0,"",VLOOKUP($A91,'Pre-Assessment Estimator'!$A$10:$Z$228,Q$2,FALSE))</f>
        <v/>
      </c>
      <c r="R91" s="577" t="str">
        <f>IF(VLOOKUP($A91,'Pre-Assessment Estimator'!$A$10:$Z$228,R$2,FALSE)=0,"",VLOOKUP($A91,'Pre-Assessment Estimator'!$A$10:$Z$228,R$2,FALSE))</f>
        <v/>
      </c>
      <c r="S91" s="578" t="str">
        <f>IF(VLOOKUP($A91,'Pre-Assessment Estimator'!$A$10:$Z$228,S$2,FALSE)=0,"",VLOOKUP($A91,'Pre-Assessment Estimator'!$A$10:$Z$228,S$2,FALSE))</f>
        <v/>
      </c>
      <c r="T91" s="581"/>
      <c r="U91" s="580" t="str">
        <f>IF(VLOOKUP($A91,'Pre-Assessment Estimator'!$A$10:$Z$228,U$2,FALSE)=0,"",VLOOKUP($A91,'Pre-Assessment Estimator'!$A$10:$Z$228,U$2,FALSE))</f>
        <v/>
      </c>
      <c r="V91" s="575">
        <f>VLOOKUP($A91,'Pre-Assessment Estimator'!$A$10:$Z$228,V$2,FALSE)</f>
        <v>0</v>
      </c>
      <c r="W91" s="574" t="str">
        <f>VLOOKUP($A91,'Pre-Assessment Estimator'!$A$10:$Z$228,W$2,FALSE)</f>
        <v>N/A</v>
      </c>
      <c r="X91" s="577" t="str">
        <f>IF(VLOOKUP($A91,'Pre-Assessment Estimator'!$A$10:$Z$228,X$2,FALSE)=0,"",VLOOKUP($A91,'Pre-Assessment Estimator'!$A$10:$Z$228,X$2,FALSE))</f>
        <v/>
      </c>
      <c r="Y91" s="577" t="str">
        <f>IF(VLOOKUP($A91,'Pre-Assessment Estimator'!$A$10:$Z$228,Y$2,FALSE)=0,"",VLOOKUP($A91,'Pre-Assessment Estimator'!$A$10:$Z$228,Y$2,FALSE))</f>
        <v/>
      </c>
      <c r="Z91" s="370" t="str">
        <f>IF(VLOOKUP($A91,'Pre-Assessment Estimator'!$A$10:$Z$228,Z$2,FALSE)=0,"",VLOOKUP($A91,'Pre-Assessment Estimator'!$A$10:$Z$228,Z$2,FALSE))</f>
        <v/>
      </c>
      <c r="AA91" s="696">
        <v>79</v>
      </c>
      <c r="AB91" s="577"/>
      <c r="AF91" s="386">
        <f t="shared" si="2"/>
        <v>1</v>
      </c>
    </row>
    <row r="92" spans="1:32" x14ac:dyDescent="0.25">
      <c r="A92" s="823">
        <v>83</v>
      </c>
      <c r="B92" s="1234" t="s">
        <v>65</v>
      </c>
      <c r="C92" s="1234"/>
      <c r="D92" s="1256" t="str">
        <f>VLOOKUP($A92,'Pre-Assessment Estimator'!$A$10:$Z$228,D$2,FALSE)</f>
        <v>Ene 08</v>
      </c>
      <c r="E92" s="1256" t="str">
        <f>VLOOKUP($A92,'Pre-Assessment Estimator'!$A$10:$Z$228,E$2,FALSE)</f>
        <v>Ene 08 Energy efficient equipment</v>
      </c>
      <c r="F92" s="574">
        <f>VLOOKUP($A92,'Pre-Assessment Estimator'!$A$10:$Z$228,F$2,FALSE)</f>
        <v>2</v>
      </c>
      <c r="G92" s="580" t="str">
        <f>IF(VLOOKUP($A92,'Pre-Assessment Estimator'!$A$10:$Z$228,G$2,FALSE)=0,"",VLOOKUP($A92,'Pre-Assessment Estimator'!$A$10:$Z$228,G$2,FALSE))</f>
        <v/>
      </c>
      <c r="H92" s="1220" t="str">
        <f>VLOOKUP($A92,'Pre-Assessment Estimator'!$A$10:$Z$228,H$2,FALSE)</f>
        <v>0 c. 0 %</v>
      </c>
      <c r="I92" s="576" t="str">
        <f>VLOOKUP($A92,'Pre-Assessment Estimator'!$A$10:$Z$228,I$2,FALSE)</f>
        <v>N/A</v>
      </c>
      <c r="J92" s="577" t="str">
        <f>IF(VLOOKUP($A92,'Pre-Assessment Estimator'!$A$10:$Z$228,J$2,FALSE)=0,"",VLOOKUP($A92,'Pre-Assessment Estimator'!$A$10:$Z$228,J$2,FALSE))</f>
        <v/>
      </c>
      <c r="K92" s="577" t="str">
        <f>IF(VLOOKUP($A92,'Pre-Assessment Estimator'!$A$10:$Z$228,K$2,FALSE)=0,"",VLOOKUP($A92,'Pre-Assessment Estimator'!$A$10:$Z$228,K$2,FALSE))</f>
        <v/>
      </c>
      <c r="L92" s="578" t="str">
        <f>IF(VLOOKUP($A92,'Pre-Assessment Estimator'!$A$10:$Z$228,L$2,FALSE)=0,"",VLOOKUP($A92,'Pre-Assessment Estimator'!$A$10:$Z$228,L$2,FALSE))</f>
        <v/>
      </c>
      <c r="M92" s="579"/>
      <c r="N92" s="580" t="str">
        <f>IF(VLOOKUP($A92,'Pre-Assessment Estimator'!$A$10:$Z$228,N$2,FALSE)=0,"",VLOOKUP($A92,'Pre-Assessment Estimator'!$A$10:$Z$228,N$2,FALSE))</f>
        <v/>
      </c>
      <c r="O92" s="575" t="str">
        <f>VLOOKUP($A92,'Pre-Assessment Estimator'!$A$10:$Z$228,O$2,FALSE)</f>
        <v>0 c. 0 %</v>
      </c>
      <c r="P92" s="574" t="str">
        <f>VLOOKUP($A92,'Pre-Assessment Estimator'!$A$10:$Z$228,P$2,FALSE)</f>
        <v>N/A</v>
      </c>
      <c r="Q92" s="577" t="str">
        <f>IF(VLOOKUP($A92,'Pre-Assessment Estimator'!$A$10:$Z$228,Q$2,FALSE)=0,"",VLOOKUP($A92,'Pre-Assessment Estimator'!$A$10:$Z$228,Q$2,FALSE))</f>
        <v/>
      </c>
      <c r="R92" s="577" t="str">
        <f>IF(VLOOKUP($A92,'Pre-Assessment Estimator'!$A$10:$Z$228,R$2,FALSE)=0,"",VLOOKUP($A92,'Pre-Assessment Estimator'!$A$10:$Z$228,R$2,FALSE))</f>
        <v/>
      </c>
      <c r="S92" s="578" t="str">
        <f>IF(VLOOKUP($A92,'Pre-Assessment Estimator'!$A$10:$Z$228,S$2,FALSE)=0,"",VLOOKUP($A92,'Pre-Assessment Estimator'!$A$10:$Z$228,S$2,FALSE))</f>
        <v/>
      </c>
      <c r="T92" s="581"/>
      <c r="U92" s="580" t="str">
        <f>IF(VLOOKUP($A92,'Pre-Assessment Estimator'!$A$10:$Z$228,U$2,FALSE)=0,"",VLOOKUP($A92,'Pre-Assessment Estimator'!$A$10:$Z$228,U$2,FALSE))</f>
        <v/>
      </c>
      <c r="V92" s="575" t="str">
        <f>VLOOKUP($A92,'Pre-Assessment Estimator'!$A$10:$Z$228,V$2,FALSE)</f>
        <v>0 c. 0 %</v>
      </c>
      <c r="W92" s="574" t="str">
        <f>VLOOKUP($A92,'Pre-Assessment Estimator'!$A$10:$Z$228,W$2,FALSE)</f>
        <v>N/A</v>
      </c>
      <c r="X92" s="577" t="str">
        <f>IF(VLOOKUP($A92,'Pre-Assessment Estimator'!$A$10:$Z$228,X$2,FALSE)=0,"",VLOOKUP($A92,'Pre-Assessment Estimator'!$A$10:$Z$228,X$2,FALSE))</f>
        <v/>
      </c>
      <c r="Y92" s="577" t="str">
        <f>IF(VLOOKUP($A92,'Pre-Assessment Estimator'!$A$10:$Z$228,Y$2,FALSE)=0,"",VLOOKUP($A92,'Pre-Assessment Estimator'!$A$10:$Z$228,Y$2,FALSE))</f>
        <v/>
      </c>
      <c r="Z92" s="370" t="str">
        <f>IF(VLOOKUP($A92,'Pre-Assessment Estimator'!$A$10:$Z$228,Z$2,FALSE)=0,"",VLOOKUP($A92,'Pre-Assessment Estimator'!$A$10:$Z$228,Z$2,FALSE))</f>
        <v/>
      </c>
      <c r="AA92" s="696">
        <v>80</v>
      </c>
      <c r="AB92" s="577"/>
      <c r="AF92" s="386">
        <f t="shared" si="2"/>
        <v>1</v>
      </c>
    </row>
    <row r="93" spans="1:32" ht="30" x14ac:dyDescent="0.25">
      <c r="A93" s="823">
        <v>84</v>
      </c>
      <c r="B93" s="1234" t="s">
        <v>65</v>
      </c>
      <c r="C93" s="1234"/>
      <c r="D93" s="1257" t="str">
        <f>VLOOKUP($A93,'Pre-Assessment Estimator'!$A$10:$Z$228,D$2,FALSE)</f>
        <v>Ene 08</v>
      </c>
      <c r="E93" s="1258" t="str">
        <f>VLOOKUP($A93,'Pre-Assessment Estimator'!$A$10:$Z$228,E$2,FALSE)</f>
        <v xml:space="preserve">Reduction of the building's significant unregulated energy consumption </v>
      </c>
      <c r="F93" s="574">
        <f>VLOOKUP($A93,'Pre-Assessment Estimator'!$A$10:$Z$228,F$2,FALSE)</f>
        <v>2</v>
      </c>
      <c r="G93" s="580" t="str">
        <f>IF(VLOOKUP($A93,'Pre-Assessment Estimator'!$A$10:$Z$228,G$2,FALSE)=0,"",VLOOKUP($A93,'Pre-Assessment Estimator'!$A$10:$Z$228,G$2,FALSE))</f>
        <v/>
      </c>
      <c r="H93" s="1220">
        <f>VLOOKUP($A93,'Pre-Assessment Estimator'!$A$10:$Z$228,H$2,FALSE)</f>
        <v>0</v>
      </c>
      <c r="I93" s="576" t="str">
        <f>VLOOKUP($A93,'Pre-Assessment Estimator'!$A$10:$Z$228,I$2,FALSE)</f>
        <v>N/A</v>
      </c>
      <c r="J93" s="577" t="str">
        <f>IF(VLOOKUP($A93,'Pre-Assessment Estimator'!$A$10:$Z$228,J$2,FALSE)=0,"",VLOOKUP($A93,'Pre-Assessment Estimator'!$A$10:$Z$228,J$2,FALSE))</f>
        <v/>
      </c>
      <c r="K93" s="577" t="str">
        <f>IF(VLOOKUP($A93,'Pre-Assessment Estimator'!$A$10:$Z$228,K$2,FALSE)=0,"",VLOOKUP($A93,'Pre-Assessment Estimator'!$A$10:$Z$228,K$2,FALSE))</f>
        <v/>
      </c>
      <c r="L93" s="578" t="str">
        <f>IF(VLOOKUP($A93,'Pre-Assessment Estimator'!$A$10:$Z$228,L$2,FALSE)=0,"",VLOOKUP($A93,'Pre-Assessment Estimator'!$A$10:$Z$228,L$2,FALSE))</f>
        <v/>
      </c>
      <c r="M93" s="579"/>
      <c r="N93" s="580" t="str">
        <f>IF(VLOOKUP($A93,'Pre-Assessment Estimator'!$A$10:$Z$228,N$2,FALSE)=0,"",VLOOKUP($A93,'Pre-Assessment Estimator'!$A$10:$Z$228,N$2,FALSE))</f>
        <v/>
      </c>
      <c r="O93" s="575">
        <f>VLOOKUP($A93,'Pre-Assessment Estimator'!$A$10:$Z$228,O$2,FALSE)</f>
        <v>0</v>
      </c>
      <c r="P93" s="574" t="str">
        <f>VLOOKUP($A93,'Pre-Assessment Estimator'!$A$10:$Z$228,P$2,FALSE)</f>
        <v>N/A</v>
      </c>
      <c r="Q93" s="577" t="str">
        <f>IF(VLOOKUP($A93,'Pre-Assessment Estimator'!$A$10:$Z$228,Q$2,FALSE)=0,"",VLOOKUP($A93,'Pre-Assessment Estimator'!$A$10:$Z$228,Q$2,FALSE))</f>
        <v/>
      </c>
      <c r="R93" s="577" t="str">
        <f>IF(VLOOKUP($A93,'Pre-Assessment Estimator'!$A$10:$Z$228,R$2,FALSE)=0,"",VLOOKUP($A93,'Pre-Assessment Estimator'!$A$10:$Z$228,R$2,FALSE))</f>
        <v/>
      </c>
      <c r="S93" s="578" t="str">
        <f>IF(VLOOKUP($A93,'Pre-Assessment Estimator'!$A$10:$Z$228,S$2,FALSE)=0,"",VLOOKUP($A93,'Pre-Assessment Estimator'!$A$10:$Z$228,S$2,FALSE))</f>
        <v/>
      </c>
      <c r="T93" s="581"/>
      <c r="U93" s="580" t="str">
        <f>IF(VLOOKUP($A93,'Pre-Assessment Estimator'!$A$10:$Z$228,U$2,FALSE)=0,"",VLOOKUP($A93,'Pre-Assessment Estimator'!$A$10:$Z$228,U$2,FALSE))</f>
        <v/>
      </c>
      <c r="V93" s="575">
        <f>VLOOKUP($A93,'Pre-Assessment Estimator'!$A$10:$Z$228,V$2,FALSE)</f>
        <v>0</v>
      </c>
      <c r="W93" s="574" t="str">
        <f>VLOOKUP($A93,'Pre-Assessment Estimator'!$A$10:$Z$228,W$2,FALSE)</f>
        <v>N/A</v>
      </c>
      <c r="X93" s="577" t="str">
        <f>IF(VLOOKUP($A93,'Pre-Assessment Estimator'!$A$10:$Z$228,X$2,FALSE)=0,"",VLOOKUP($A93,'Pre-Assessment Estimator'!$A$10:$Z$228,X$2,FALSE))</f>
        <v/>
      </c>
      <c r="Y93" s="577" t="str">
        <f>IF(VLOOKUP($A93,'Pre-Assessment Estimator'!$A$10:$Z$228,Y$2,FALSE)=0,"",VLOOKUP($A93,'Pre-Assessment Estimator'!$A$10:$Z$228,Y$2,FALSE))</f>
        <v/>
      </c>
      <c r="Z93" s="370" t="str">
        <f>IF(VLOOKUP($A93,'Pre-Assessment Estimator'!$A$10:$Z$228,Z$2,FALSE)=0,"",VLOOKUP($A93,'Pre-Assessment Estimator'!$A$10:$Z$228,Z$2,FALSE))</f>
        <v/>
      </c>
      <c r="AA93" s="696">
        <v>81</v>
      </c>
      <c r="AB93" s="577"/>
      <c r="AF93" s="386">
        <f t="shared" si="2"/>
        <v>1</v>
      </c>
    </row>
    <row r="94" spans="1:32" ht="30" customHeight="1" thickBot="1" x14ac:dyDescent="0.3">
      <c r="A94" s="823">
        <v>85</v>
      </c>
      <c r="B94" s="1234" t="s">
        <v>65</v>
      </c>
      <c r="C94" s="1234"/>
      <c r="D94" s="1259"/>
      <c r="E94" s="1259" t="str">
        <f>VLOOKUP($A94,'Pre-Assessment Estimator'!$A$10:$Z$228,E$2,FALSE)</f>
        <v>Total performance energy</v>
      </c>
      <c r="F94" s="582">
        <f>VLOOKUP($A94,'Pre-Assessment Estimator'!$A$10:$Z$228,F$2,FALSE)</f>
        <v>27</v>
      </c>
      <c r="G94" s="584" t="str">
        <f>IF(VLOOKUP($A94,'Pre-Assessment Estimator'!$A$10:$Z$228,G$2,FALSE)=0,"",VLOOKUP($A94,'Pre-Assessment Estimator'!$A$10:$Z$228,G$2,FALSE))</f>
        <v/>
      </c>
      <c r="H94" s="583">
        <f>VLOOKUP($A94,'Pre-Assessment Estimator'!$A$10:$Z$228,H$2,FALSE)</f>
        <v>0</v>
      </c>
      <c r="I94" s="582" t="str">
        <f>VLOOKUP($A94,'Pre-Assessment Estimator'!$A$10:$Z$228,I$2,FALSE)</f>
        <v>Credits achieved: 0</v>
      </c>
      <c r="J94" s="1202" t="str">
        <f>IF(VLOOKUP($A94,'Pre-Assessment Estimator'!$A$10:$Z$228,J$2,FALSE)=0,"",VLOOKUP($A94,'Pre-Assessment Estimator'!$A$10:$Z$228,J$2,FALSE))</f>
        <v/>
      </c>
      <c r="K94" s="1202" t="str">
        <f>IF(VLOOKUP($A94,'Pre-Assessment Estimator'!$A$10:$Z$228,K$2,FALSE)=0,"",VLOOKUP($A94,'Pre-Assessment Estimator'!$A$10:$Z$228,K$2,FALSE))</f>
        <v/>
      </c>
      <c r="L94" s="1221" t="str">
        <f>IF(VLOOKUP($A94,'Pre-Assessment Estimator'!$A$10:$Z$228,L$2,FALSE)=0,"",VLOOKUP($A94,'Pre-Assessment Estimator'!$A$10:$Z$228,L$2,FALSE))</f>
        <v/>
      </c>
      <c r="M94" s="1222"/>
      <c r="N94" s="584" t="str">
        <f>IF(VLOOKUP($A94,'Pre-Assessment Estimator'!$A$10:$Z$228,N$2,FALSE)=0,"",VLOOKUP($A94,'Pre-Assessment Estimator'!$A$10:$Z$228,N$2,FALSE))</f>
        <v/>
      </c>
      <c r="O94" s="583">
        <f>VLOOKUP($A94,'Pre-Assessment Estimator'!$A$10:$Z$228,O$2,FALSE)</f>
        <v>0</v>
      </c>
      <c r="P94" s="582" t="str">
        <f>VLOOKUP($A94,'Pre-Assessment Estimator'!$A$10:$Z$228,P$2,FALSE)</f>
        <v>Credits achieved: 0</v>
      </c>
      <c r="Q94" s="1202" t="str">
        <f>IF(VLOOKUP($A94,'Pre-Assessment Estimator'!$A$10:$Z$228,Q$2,FALSE)=0,"",VLOOKUP($A94,'Pre-Assessment Estimator'!$A$10:$Z$228,Q$2,FALSE))</f>
        <v/>
      </c>
      <c r="R94" s="1202" t="str">
        <f>IF(VLOOKUP($A94,'Pre-Assessment Estimator'!$A$10:$Z$228,R$2,FALSE)=0,"",VLOOKUP($A94,'Pre-Assessment Estimator'!$A$10:$Z$228,R$2,FALSE))</f>
        <v/>
      </c>
      <c r="S94" s="1221" t="str">
        <f>IF(VLOOKUP($A94,'Pre-Assessment Estimator'!$A$10:$Z$228,S$2,FALSE)=0,"",VLOOKUP($A94,'Pre-Assessment Estimator'!$A$10:$Z$228,S$2,FALSE))</f>
        <v/>
      </c>
      <c r="T94" s="1223"/>
      <c r="U94" s="584" t="str">
        <f>IF(VLOOKUP($A94,'Pre-Assessment Estimator'!$A$10:$Z$228,U$2,FALSE)=0,"",VLOOKUP($A94,'Pre-Assessment Estimator'!$A$10:$Z$228,U$2,FALSE))</f>
        <v/>
      </c>
      <c r="V94" s="583">
        <f>VLOOKUP($A94,'Pre-Assessment Estimator'!$A$10:$Z$228,V$2,FALSE)</f>
        <v>0</v>
      </c>
      <c r="W94" s="582" t="str">
        <f>VLOOKUP($A94,'Pre-Assessment Estimator'!$A$10:$Z$228,W$2,FALSE)</f>
        <v>Credits achieved: 0</v>
      </c>
      <c r="X94" s="1202" t="str">
        <f>IF(VLOOKUP($A94,'Pre-Assessment Estimator'!$A$10:$Z$228,X$2,FALSE)=0,"",VLOOKUP($A94,'Pre-Assessment Estimator'!$A$10:$Z$228,X$2,FALSE))</f>
        <v/>
      </c>
      <c r="Y94" s="1202" t="str">
        <f>IF(VLOOKUP($A94,'Pre-Assessment Estimator'!$A$10:$Z$228,Y$2,FALSE)=0,"",VLOOKUP($A94,'Pre-Assessment Estimator'!$A$10:$Z$228,Y$2,FALSE))</f>
        <v/>
      </c>
      <c r="Z94" s="1224" t="str">
        <f>IF(VLOOKUP($A94,'Pre-Assessment Estimator'!$A$10:$Z$228,Z$2,FALSE)=0,"",VLOOKUP($A94,'Pre-Assessment Estimator'!$A$10:$Z$228,Z$2,FALSE))</f>
        <v/>
      </c>
      <c r="AA94" s="696">
        <v>82</v>
      </c>
      <c r="AB94" s="577" t="str">
        <f>IF(VLOOKUP($A94,'Pre-Assessment Estimator'!$A$10:$AB$228,AB$2,FALSE)=0,"",VLOOKUP($A94,'Pre-Assessment Estimator'!$A$10:$AB$228,AB$2,FALSE))</f>
        <v/>
      </c>
      <c r="AF94" s="386">
        <f t="shared" si="2"/>
        <v>1</v>
      </c>
    </row>
    <row r="95" spans="1:32" x14ac:dyDescent="0.25">
      <c r="A95" s="823">
        <v>86</v>
      </c>
      <c r="B95" s="1234" t="s">
        <v>65</v>
      </c>
      <c r="C95" s="1234"/>
      <c r="D95" s="585"/>
      <c r="E95" s="585"/>
      <c r="F95" s="586"/>
      <c r="G95" s="586"/>
      <c r="H95" s="586"/>
      <c r="I95" s="586"/>
      <c r="J95" s="585"/>
      <c r="K95" s="586"/>
      <c r="L95" s="585"/>
      <c r="M95" s="579"/>
      <c r="N95" s="586"/>
      <c r="O95" s="586"/>
      <c r="P95" s="586"/>
      <c r="Q95" s="585"/>
      <c r="R95" s="586"/>
      <c r="S95" s="585"/>
      <c r="T95" s="581"/>
      <c r="U95" s="586"/>
      <c r="V95" s="586"/>
      <c r="W95" s="586"/>
      <c r="X95" s="585"/>
      <c r="Y95" s="586"/>
      <c r="Z95" s="343"/>
      <c r="AA95" s="696">
        <v>83</v>
      </c>
      <c r="AB95" s="585"/>
      <c r="AC95" s="389"/>
      <c r="AD95" s="389"/>
      <c r="AE95" s="389"/>
      <c r="AF95" s="386">
        <f t="shared" si="2"/>
        <v>1</v>
      </c>
    </row>
    <row r="96" spans="1:32" ht="18.75" x14ac:dyDescent="0.25">
      <c r="A96" s="823">
        <v>87</v>
      </c>
      <c r="B96" s="1234" t="s">
        <v>66</v>
      </c>
      <c r="C96" s="1234"/>
      <c r="D96" s="587"/>
      <c r="E96" s="587" t="s">
        <v>66</v>
      </c>
      <c r="F96" s="570"/>
      <c r="G96" s="570"/>
      <c r="H96" s="570"/>
      <c r="I96" s="570"/>
      <c r="J96" s="571"/>
      <c r="K96" s="570"/>
      <c r="L96" s="571"/>
      <c r="M96" s="579"/>
      <c r="N96" s="570"/>
      <c r="O96" s="570"/>
      <c r="P96" s="570"/>
      <c r="Q96" s="571"/>
      <c r="R96" s="570"/>
      <c r="S96" s="571"/>
      <c r="T96" s="581"/>
      <c r="U96" s="570"/>
      <c r="V96" s="570"/>
      <c r="W96" s="570"/>
      <c r="X96" s="571"/>
      <c r="Y96" s="570"/>
      <c r="Z96" s="411"/>
      <c r="AA96" s="696">
        <v>84</v>
      </c>
      <c r="AB96" s="697"/>
      <c r="AF96" s="386">
        <f t="shared" si="2"/>
        <v>1</v>
      </c>
    </row>
    <row r="97" spans="1:32" x14ac:dyDescent="0.25">
      <c r="A97" s="823">
        <v>88</v>
      </c>
      <c r="B97" s="1234" t="s">
        <v>66</v>
      </c>
      <c r="C97" s="1234"/>
      <c r="D97" s="1256" t="str">
        <f>VLOOKUP($A97,'Pre-Assessment Estimator'!$A$10:$Z$228,D$2,FALSE)</f>
        <v>Tra 01</v>
      </c>
      <c r="E97" s="1256" t="str">
        <f>VLOOKUP($A97,'Pre-Assessment Estimator'!$A$10:$Z$228,E$2,FALSE)</f>
        <v>Tra 01 Transport assessment and travel plan</v>
      </c>
      <c r="F97" s="574">
        <f>VLOOKUP($A97,'Pre-Assessment Estimator'!$A$10:$Z$228,F$2,FALSE)</f>
        <v>3</v>
      </c>
      <c r="G97" s="580" t="str">
        <f>IF(VLOOKUP($A97,'Pre-Assessment Estimator'!$A$10:$Z$228,G$2,FALSE)=0,"",VLOOKUP($A97,'Pre-Assessment Estimator'!$A$10:$Z$228,G$2,FALSE))</f>
        <v/>
      </c>
      <c r="H97" s="1220" t="str">
        <f>VLOOKUP($A97,'Pre-Assessment Estimator'!$A$10:$Z$228,H$2,FALSE)</f>
        <v>0 c. 0 %</v>
      </c>
      <c r="I97" s="576" t="str">
        <f>VLOOKUP($A97,'Pre-Assessment Estimator'!$A$10:$Z$228,I$2,FALSE)</f>
        <v>N/A</v>
      </c>
      <c r="J97" s="577" t="str">
        <f>IF(VLOOKUP($A97,'Pre-Assessment Estimator'!$A$10:$Z$228,J$2,FALSE)=0,"",VLOOKUP($A97,'Pre-Assessment Estimator'!$A$10:$Z$228,J$2,FALSE))</f>
        <v/>
      </c>
      <c r="K97" s="577" t="str">
        <f>IF(VLOOKUP($A97,'Pre-Assessment Estimator'!$A$10:$Z$228,K$2,FALSE)=0,"",VLOOKUP($A97,'Pre-Assessment Estimator'!$A$10:$Z$228,K$2,FALSE))</f>
        <v/>
      </c>
      <c r="L97" s="578" t="str">
        <f>IF(VLOOKUP($A97,'Pre-Assessment Estimator'!$A$10:$Z$228,L$2,FALSE)=0,"",VLOOKUP($A97,'Pre-Assessment Estimator'!$A$10:$Z$228,L$2,FALSE))</f>
        <v/>
      </c>
      <c r="M97" s="579"/>
      <c r="N97" s="580" t="str">
        <f>IF(VLOOKUP($A97,'Pre-Assessment Estimator'!$A$10:$Z$228,N$2,FALSE)=0,"",VLOOKUP($A97,'Pre-Assessment Estimator'!$A$10:$Z$228,N$2,FALSE))</f>
        <v/>
      </c>
      <c r="O97" s="575" t="str">
        <f>VLOOKUP($A97,'Pre-Assessment Estimator'!$A$10:$Z$228,O$2,FALSE)</f>
        <v>0 c. 0 %</v>
      </c>
      <c r="P97" s="574" t="str">
        <f>VLOOKUP($A97,'Pre-Assessment Estimator'!$A$10:$Z$228,P$2,FALSE)</f>
        <v>N/A</v>
      </c>
      <c r="Q97" s="577" t="str">
        <f>IF(VLOOKUP($A97,'Pre-Assessment Estimator'!$A$10:$Z$228,Q$2,FALSE)=0,"",VLOOKUP($A97,'Pre-Assessment Estimator'!$A$10:$Z$228,Q$2,FALSE))</f>
        <v/>
      </c>
      <c r="R97" s="577" t="str">
        <f>IF(VLOOKUP($A97,'Pre-Assessment Estimator'!$A$10:$Z$228,R$2,FALSE)=0,"",VLOOKUP($A97,'Pre-Assessment Estimator'!$A$10:$Z$228,R$2,FALSE))</f>
        <v/>
      </c>
      <c r="S97" s="578" t="str">
        <f>IF(VLOOKUP($A97,'Pre-Assessment Estimator'!$A$10:$Z$228,S$2,FALSE)=0,"",VLOOKUP($A97,'Pre-Assessment Estimator'!$A$10:$Z$228,S$2,FALSE))</f>
        <v/>
      </c>
      <c r="T97" s="581"/>
      <c r="U97" s="580" t="str">
        <f>IF(VLOOKUP($A97,'Pre-Assessment Estimator'!$A$10:$Z$228,U$2,FALSE)=0,"",VLOOKUP($A97,'Pre-Assessment Estimator'!$A$10:$Z$228,U$2,FALSE))</f>
        <v/>
      </c>
      <c r="V97" s="575" t="str">
        <f>VLOOKUP($A97,'Pre-Assessment Estimator'!$A$10:$Z$228,V$2,FALSE)</f>
        <v>0 c. 0 %</v>
      </c>
      <c r="W97" s="574" t="str">
        <f>VLOOKUP($A97,'Pre-Assessment Estimator'!$A$10:$Z$228,W$2,FALSE)</f>
        <v>N/A</v>
      </c>
      <c r="X97" s="577" t="str">
        <f>IF(VLOOKUP($A97,'Pre-Assessment Estimator'!$A$10:$Z$228,X$2,FALSE)=0,"",VLOOKUP($A97,'Pre-Assessment Estimator'!$A$10:$Z$228,X$2,FALSE))</f>
        <v/>
      </c>
      <c r="Y97" s="577" t="str">
        <f>IF(VLOOKUP($A97,'Pre-Assessment Estimator'!$A$10:$Z$228,Y$2,FALSE)=0,"",VLOOKUP($A97,'Pre-Assessment Estimator'!$A$10:$Z$228,Y$2,FALSE))</f>
        <v/>
      </c>
      <c r="Z97" s="370" t="str">
        <f>IF(VLOOKUP($A97,'Pre-Assessment Estimator'!$A$10:$Z$228,Z$2,FALSE)=0,"",VLOOKUP($A97,'Pre-Assessment Estimator'!$A$10:$Z$228,Z$2,FALSE))</f>
        <v/>
      </c>
      <c r="AA97" s="696">
        <v>85</v>
      </c>
      <c r="AB97" s="577" t="str">
        <f>IF(VLOOKUP($A97,'Pre-Assessment Estimator'!$A$10:$AB$228,AB$2,FALSE)=0,"",VLOOKUP($A97,'Pre-Assessment Estimator'!$A$10:$AB$228,AB$2,FALSE))</f>
        <v/>
      </c>
      <c r="AF97" s="386">
        <f t="shared" si="2"/>
        <v>1</v>
      </c>
    </row>
    <row r="98" spans="1:32" x14ac:dyDescent="0.25">
      <c r="A98" s="823">
        <v>89</v>
      </c>
      <c r="B98" s="1234" t="s">
        <v>66</v>
      </c>
      <c r="C98" s="1234"/>
      <c r="D98" s="1257" t="str">
        <f>VLOOKUP($A98,'Pre-Assessment Estimator'!$A$10:$Z$228,D$2,FALSE)</f>
        <v>Tra 01</v>
      </c>
      <c r="E98" s="1258" t="str">
        <f>VLOOKUP($A98,'Pre-Assessment Estimator'!$A$10:$Z$228,E$2,FALSE)</f>
        <v xml:space="preserve">Transport assessment and travel plan </v>
      </c>
      <c r="F98" s="574">
        <f>VLOOKUP($A98,'Pre-Assessment Estimator'!$A$10:$Z$228,F$2,FALSE)</f>
        <v>2</v>
      </c>
      <c r="G98" s="580" t="str">
        <f>IF(VLOOKUP($A98,'Pre-Assessment Estimator'!$A$10:$Z$228,G$2,FALSE)=0,"",VLOOKUP($A98,'Pre-Assessment Estimator'!$A$10:$Z$228,G$2,FALSE))</f>
        <v/>
      </c>
      <c r="H98" s="1220">
        <f>VLOOKUP($A98,'Pre-Assessment Estimator'!$A$10:$Z$228,H$2,FALSE)</f>
        <v>0</v>
      </c>
      <c r="I98" s="576" t="str">
        <f>VLOOKUP($A98,'Pre-Assessment Estimator'!$A$10:$Z$228,I$2,FALSE)</f>
        <v>N/A</v>
      </c>
      <c r="J98" s="577" t="str">
        <f>IF(VLOOKUP($A98,'Pre-Assessment Estimator'!$A$10:$Z$228,J$2,FALSE)=0,"",VLOOKUP($A98,'Pre-Assessment Estimator'!$A$10:$Z$228,J$2,FALSE))</f>
        <v/>
      </c>
      <c r="K98" s="577" t="str">
        <f>IF(VLOOKUP($A98,'Pre-Assessment Estimator'!$A$10:$Z$228,K$2,FALSE)=0,"",VLOOKUP($A98,'Pre-Assessment Estimator'!$A$10:$Z$228,K$2,FALSE))</f>
        <v/>
      </c>
      <c r="L98" s="578" t="str">
        <f>IF(VLOOKUP($A98,'Pre-Assessment Estimator'!$A$10:$Z$228,L$2,FALSE)=0,"",VLOOKUP($A98,'Pre-Assessment Estimator'!$A$10:$Z$228,L$2,FALSE))</f>
        <v/>
      </c>
      <c r="M98" s="579"/>
      <c r="N98" s="580" t="str">
        <f>IF(VLOOKUP($A98,'Pre-Assessment Estimator'!$A$10:$Z$228,N$2,FALSE)=0,"",VLOOKUP($A98,'Pre-Assessment Estimator'!$A$10:$Z$228,N$2,FALSE))</f>
        <v/>
      </c>
      <c r="O98" s="575">
        <f>VLOOKUP($A98,'Pre-Assessment Estimator'!$A$10:$Z$228,O$2,FALSE)</f>
        <v>0</v>
      </c>
      <c r="P98" s="574" t="str">
        <f>VLOOKUP($A98,'Pre-Assessment Estimator'!$A$10:$Z$228,P$2,FALSE)</f>
        <v>N/A</v>
      </c>
      <c r="Q98" s="577" t="str">
        <f>IF(VLOOKUP($A98,'Pre-Assessment Estimator'!$A$10:$Z$228,Q$2,FALSE)=0,"",VLOOKUP($A98,'Pre-Assessment Estimator'!$A$10:$Z$228,Q$2,FALSE))</f>
        <v/>
      </c>
      <c r="R98" s="577" t="str">
        <f>IF(VLOOKUP($A98,'Pre-Assessment Estimator'!$A$10:$Z$228,R$2,FALSE)=0,"",VLOOKUP($A98,'Pre-Assessment Estimator'!$A$10:$Z$228,R$2,FALSE))</f>
        <v/>
      </c>
      <c r="S98" s="578" t="str">
        <f>IF(VLOOKUP($A98,'Pre-Assessment Estimator'!$A$10:$Z$228,S$2,FALSE)=0,"",VLOOKUP($A98,'Pre-Assessment Estimator'!$A$10:$Z$228,S$2,FALSE))</f>
        <v/>
      </c>
      <c r="T98" s="581"/>
      <c r="U98" s="580" t="str">
        <f>IF(VLOOKUP($A98,'Pre-Assessment Estimator'!$A$10:$Z$228,U$2,FALSE)=0,"",VLOOKUP($A98,'Pre-Assessment Estimator'!$A$10:$Z$228,U$2,FALSE))</f>
        <v/>
      </c>
      <c r="V98" s="575">
        <f>VLOOKUP($A98,'Pre-Assessment Estimator'!$A$10:$Z$228,V$2,FALSE)</f>
        <v>0</v>
      </c>
      <c r="W98" s="574" t="str">
        <f>VLOOKUP($A98,'Pre-Assessment Estimator'!$A$10:$Z$228,W$2,FALSE)</f>
        <v>N/A</v>
      </c>
      <c r="X98" s="577" t="str">
        <f>IF(VLOOKUP($A98,'Pre-Assessment Estimator'!$A$10:$Z$228,X$2,FALSE)=0,"",VLOOKUP($A98,'Pre-Assessment Estimator'!$A$10:$Z$228,X$2,FALSE))</f>
        <v/>
      </c>
      <c r="Y98" s="577" t="str">
        <f>IF(VLOOKUP($A98,'Pre-Assessment Estimator'!$A$10:$Z$228,Y$2,FALSE)=0,"",VLOOKUP($A98,'Pre-Assessment Estimator'!$A$10:$Z$228,Y$2,FALSE))</f>
        <v/>
      </c>
      <c r="Z98" s="370" t="str">
        <f>IF(VLOOKUP($A98,'Pre-Assessment Estimator'!$A$10:$Z$228,Z$2,FALSE)=0,"",VLOOKUP($A98,'Pre-Assessment Estimator'!$A$10:$Z$228,Z$2,FALSE))</f>
        <v/>
      </c>
      <c r="AA98" s="696">
        <v>86</v>
      </c>
      <c r="AB98" s="577" t="str">
        <f>IF(VLOOKUP($A98,'Pre-Assessment Estimator'!$A$10:$AB$228,AB$2,FALSE)=0,"",VLOOKUP($A98,'Pre-Assessment Estimator'!$A$10:$AB$228,AB$2,FALSE))</f>
        <v/>
      </c>
      <c r="AF98" s="386">
        <f t="shared" si="2"/>
        <v>1</v>
      </c>
    </row>
    <row r="99" spans="1:32" x14ac:dyDescent="0.25">
      <c r="A99" s="823">
        <v>90</v>
      </c>
      <c r="B99" s="1234" t="s">
        <v>66</v>
      </c>
      <c r="C99" s="1234"/>
      <c r="D99" s="1257" t="str">
        <f>VLOOKUP($A99,'Pre-Assessment Estimator'!$A$10:$Z$228,D$2,FALSE)</f>
        <v>Tra 01</v>
      </c>
      <c r="E99" s="1258" t="str">
        <f>VLOOKUP($A99,'Pre-Assessment Estimator'!$A$10:$Z$228,E$2,FALSE)</f>
        <v xml:space="preserve">Travel plan emissions evaluation </v>
      </c>
      <c r="F99" s="574">
        <f>VLOOKUP($A99,'Pre-Assessment Estimator'!$A$10:$Z$228,F$2,FALSE)</f>
        <v>1</v>
      </c>
      <c r="G99" s="580" t="str">
        <f>IF(VLOOKUP($A99,'Pre-Assessment Estimator'!$A$10:$Z$228,G$2,FALSE)=0,"",VLOOKUP($A99,'Pre-Assessment Estimator'!$A$10:$Z$228,G$2,FALSE))</f>
        <v/>
      </c>
      <c r="H99" s="1220">
        <f>VLOOKUP($A99,'Pre-Assessment Estimator'!$A$10:$Z$228,H$2,FALSE)</f>
        <v>0</v>
      </c>
      <c r="I99" s="576" t="str">
        <f>VLOOKUP($A99,'Pre-Assessment Estimator'!$A$10:$Z$228,I$2,FALSE)</f>
        <v>Very Good</v>
      </c>
      <c r="J99" s="577" t="str">
        <f>IF(VLOOKUP($A99,'Pre-Assessment Estimator'!$A$10:$Z$228,J$2,FALSE)=0,"",VLOOKUP($A99,'Pre-Assessment Estimator'!$A$10:$Z$228,J$2,FALSE))</f>
        <v/>
      </c>
      <c r="K99" s="577" t="str">
        <f>IF(VLOOKUP($A99,'Pre-Assessment Estimator'!$A$10:$Z$228,K$2,FALSE)=0,"",VLOOKUP($A99,'Pre-Assessment Estimator'!$A$10:$Z$228,K$2,FALSE))</f>
        <v/>
      </c>
      <c r="L99" s="578" t="str">
        <f>IF(VLOOKUP($A99,'Pre-Assessment Estimator'!$A$10:$Z$228,L$2,FALSE)=0,"",VLOOKUP($A99,'Pre-Assessment Estimator'!$A$10:$Z$228,L$2,FALSE))</f>
        <v/>
      </c>
      <c r="M99" s="579"/>
      <c r="N99" s="580" t="str">
        <f>IF(VLOOKUP($A99,'Pre-Assessment Estimator'!$A$10:$Z$228,N$2,FALSE)=0,"",VLOOKUP($A99,'Pre-Assessment Estimator'!$A$10:$Z$228,N$2,FALSE))</f>
        <v/>
      </c>
      <c r="O99" s="575">
        <f>VLOOKUP($A99,'Pre-Assessment Estimator'!$A$10:$Z$228,O$2,FALSE)</f>
        <v>0</v>
      </c>
      <c r="P99" s="574" t="str">
        <f>VLOOKUP($A99,'Pre-Assessment Estimator'!$A$10:$Z$228,P$2,FALSE)</f>
        <v>Very Good</v>
      </c>
      <c r="Q99" s="577" t="str">
        <f>IF(VLOOKUP($A99,'Pre-Assessment Estimator'!$A$10:$Z$228,Q$2,FALSE)=0,"",VLOOKUP($A99,'Pre-Assessment Estimator'!$A$10:$Z$228,Q$2,FALSE))</f>
        <v/>
      </c>
      <c r="R99" s="577" t="str">
        <f>IF(VLOOKUP($A99,'Pre-Assessment Estimator'!$A$10:$Z$228,R$2,FALSE)=0,"",VLOOKUP($A99,'Pre-Assessment Estimator'!$A$10:$Z$228,R$2,FALSE))</f>
        <v/>
      </c>
      <c r="S99" s="578" t="str">
        <f>IF(VLOOKUP($A99,'Pre-Assessment Estimator'!$A$10:$Z$228,S$2,FALSE)=0,"",VLOOKUP($A99,'Pre-Assessment Estimator'!$A$10:$Z$228,S$2,FALSE))</f>
        <v/>
      </c>
      <c r="T99" s="581"/>
      <c r="U99" s="580" t="str">
        <f>IF(VLOOKUP($A99,'Pre-Assessment Estimator'!$A$10:$Z$228,U$2,FALSE)=0,"",VLOOKUP($A99,'Pre-Assessment Estimator'!$A$10:$Z$228,U$2,FALSE))</f>
        <v/>
      </c>
      <c r="V99" s="575">
        <f>VLOOKUP($A99,'Pre-Assessment Estimator'!$A$10:$Z$228,V$2,FALSE)</f>
        <v>0</v>
      </c>
      <c r="W99" s="574" t="str">
        <f>VLOOKUP($A99,'Pre-Assessment Estimator'!$A$10:$Z$228,W$2,FALSE)</f>
        <v>Very Good</v>
      </c>
      <c r="X99" s="577" t="str">
        <f>IF(VLOOKUP($A99,'Pre-Assessment Estimator'!$A$10:$Z$228,X$2,FALSE)=0,"",VLOOKUP($A99,'Pre-Assessment Estimator'!$A$10:$Z$228,X$2,FALSE))</f>
        <v/>
      </c>
      <c r="Y99" s="577" t="str">
        <f>IF(VLOOKUP($A99,'Pre-Assessment Estimator'!$A$10:$Z$228,Y$2,FALSE)=0,"",VLOOKUP($A99,'Pre-Assessment Estimator'!$A$10:$Z$228,Y$2,FALSE))</f>
        <v/>
      </c>
      <c r="Z99" s="370" t="str">
        <f>IF(VLOOKUP($A99,'Pre-Assessment Estimator'!$A$10:$Z$228,Z$2,FALSE)=0,"",VLOOKUP($A99,'Pre-Assessment Estimator'!$A$10:$Z$228,Z$2,FALSE))</f>
        <v/>
      </c>
      <c r="AA99" s="696">
        <v>87</v>
      </c>
      <c r="AB99" s="577" t="str">
        <f>IF(VLOOKUP($A99,'Pre-Assessment Estimator'!$A$10:$AB$228,AB$2,FALSE)=0,"",VLOOKUP($A99,'Pre-Assessment Estimator'!$A$10:$AB$228,AB$2,FALSE))</f>
        <v/>
      </c>
      <c r="AF99" s="386">
        <f t="shared" si="2"/>
        <v>1</v>
      </c>
    </row>
    <row r="100" spans="1:32" x14ac:dyDescent="0.25">
      <c r="A100" s="823">
        <v>91</v>
      </c>
      <c r="B100" s="1234" t="s">
        <v>66</v>
      </c>
      <c r="C100" s="1234"/>
      <c r="D100" s="1256" t="str">
        <f>VLOOKUP($A100,'Pre-Assessment Estimator'!$A$10:$Z$228,D$2,FALSE)</f>
        <v>Tra 02</v>
      </c>
      <c r="E100" s="1256" t="str">
        <f>VLOOKUP($A100,'Pre-Assessment Estimator'!$A$10:$Z$228,E$2,FALSE)</f>
        <v>Tra 02 Sustainable transport measures</v>
      </c>
      <c r="F100" s="574">
        <f>VLOOKUP($A100,'Pre-Assessment Estimator'!$A$10:$Z$228,F$2,FALSE)</f>
        <v>10</v>
      </c>
      <c r="G100" s="580" t="str">
        <f>IF(VLOOKUP($A100,'Pre-Assessment Estimator'!$A$10:$Z$228,G$2,FALSE)=0,"",VLOOKUP($A100,'Pre-Assessment Estimator'!$A$10:$Z$228,G$2,FALSE))</f>
        <v/>
      </c>
      <c r="H100" s="1220" t="str">
        <f>VLOOKUP($A100,'Pre-Assessment Estimator'!$A$10:$Z$228,H$2,FALSE)</f>
        <v>0 c. 0 %</v>
      </c>
      <c r="I100" s="576" t="str">
        <f>VLOOKUP($A100,'Pre-Assessment Estimator'!$A$10:$Z$228,I$2,FALSE)</f>
        <v>N/A</v>
      </c>
      <c r="J100" s="577" t="str">
        <f>IF(VLOOKUP($A100,'Pre-Assessment Estimator'!$A$10:$Z$228,J$2,FALSE)=0,"",VLOOKUP($A100,'Pre-Assessment Estimator'!$A$10:$Z$228,J$2,FALSE))</f>
        <v/>
      </c>
      <c r="K100" s="577" t="str">
        <f>IF(VLOOKUP($A100,'Pre-Assessment Estimator'!$A$10:$Z$228,K$2,FALSE)=0,"",VLOOKUP($A100,'Pre-Assessment Estimator'!$A$10:$Z$228,K$2,FALSE))</f>
        <v/>
      </c>
      <c r="L100" s="578" t="str">
        <f>IF(VLOOKUP($A100,'Pre-Assessment Estimator'!$A$10:$Z$228,L$2,FALSE)=0,"",VLOOKUP($A100,'Pre-Assessment Estimator'!$A$10:$Z$228,L$2,FALSE))</f>
        <v/>
      </c>
      <c r="M100" s="579"/>
      <c r="N100" s="580" t="str">
        <f>IF(VLOOKUP($A100,'Pre-Assessment Estimator'!$A$10:$Z$228,N$2,FALSE)=0,"",VLOOKUP($A100,'Pre-Assessment Estimator'!$A$10:$Z$228,N$2,FALSE))</f>
        <v/>
      </c>
      <c r="O100" s="575" t="str">
        <f>VLOOKUP($A100,'Pre-Assessment Estimator'!$A$10:$Z$228,O$2,FALSE)</f>
        <v>0 c. 0 %</v>
      </c>
      <c r="P100" s="574" t="str">
        <f>VLOOKUP($A100,'Pre-Assessment Estimator'!$A$10:$Z$228,P$2,FALSE)</f>
        <v>N/A</v>
      </c>
      <c r="Q100" s="577" t="str">
        <f>IF(VLOOKUP($A100,'Pre-Assessment Estimator'!$A$10:$Z$228,Q$2,FALSE)=0,"",VLOOKUP($A100,'Pre-Assessment Estimator'!$A$10:$Z$228,Q$2,FALSE))</f>
        <v/>
      </c>
      <c r="R100" s="577" t="str">
        <f>IF(VLOOKUP($A100,'Pre-Assessment Estimator'!$A$10:$Z$228,R$2,FALSE)=0,"",VLOOKUP($A100,'Pre-Assessment Estimator'!$A$10:$Z$228,R$2,FALSE))</f>
        <v/>
      </c>
      <c r="S100" s="578" t="str">
        <f>IF(VLOOKUP($A100,'Pre-Assessment Estimator'!$A$10:$Z$228,S$2,FALSE)=0,"",VLOOKUP($A100,'Pre-Assessment Estimator'!$A$10:$Z$228,S$2,FALSE))</f>
        <v/>
      </c>
      <c r="T100" s="581"/>
      <c r="U100" s="580" t="str">
        <f>IF(VLOOKUP($A100,'Pre-Assessment Estimator'!$A$10:$Z$228,U$2,FALSE)=0,"",VLOOKUP($A100,'Pre-Assessment Estimator'!$A$10:$Z$228,U$2,FALSE))</f>
        <v/>
      </c>
      <c r="V100" s="575" t="str">
        <f>VLOOKUP($A100,'Pre-Assessment Estimator'!$A$10:$Z$228,V$2,FALSE)</f>
        <v>0 c. 0 %</v>
      </c>
      <c r="W100" s="574" t="str">
        <f>VLOOKUP($A100,'Pre-Assessment Estimator'!$A$10:$Z$228,W$2,FALSE)</f>
        <v>N/A</v>
      </c>
      <c r="X100" s="577" t="str">
        <f>IF(VLOOKUP($A100,'Pre-Assessment Estimator'!$A$10:$Z$228,X$2,FALSE)=0,"",VLOOKUP($A100,'Pre-Assessment Estimator'!$A$10:$Z$228,X$2,FALSE))</f>
        <v/>
      </c>
      <c r="Y100" s="577" t="str">
        <f>IF(VLOOKUP($A100,'Pre-Assessment Estimator'!$A$10:$Z$228,Y$2,FALSE)=0,"",VLOOKUP($A100,'Pre-Assessment Estimator'!$A$10:$Z$228,Y$2,FALSE))</f>
        <v/>
      </c>
      <c r="Z100" s="370" t="str">
        <f>IF(VLOOKUP($A100,'Pre-Assessment Estimator'!$A$10:$Z$228,Z$2,FALSE)=0,"",VLOOKUP($A100,'Pre-Assessment Estimator'!$A$10:$Z$228,Z$2,FALSE))</f>
        <v/>
      </c>
      <c r="AA100" s="696">
        <v>88</v>
      </c>
      <c r="AB100" s="577" t="str">
        <f>IF(VLOOKUP($A100,'Pre-Assessment Estimator'!$A$10:$AB$228,AB$2,FALSE)=0,"",VLOOKUP($A100,'Pre-Assessment Estimator'!$A$10:$AB$228,AB$2,FALSE))</f>
        <v/>
      </c>
      <c r="AF100" s="386">
        <f t="shared" si="2"/>
        <v>1</v>
      </c>
    </row>
    <row r="101" spans="1:32" x14ac:dyDescent="0.25">
      <c r="A101" s="823">
        <v>92</v>
      </c>
      <c r="B101" s="1234" t="s">
        <v>66</v>
      </c>
      <c r="C101" s="1234"/>
      <c r="D101" s="1257" t="str">
        <f>VLOOKUP($A101,'Pre-Assessment Estimator'!$A$10:$Z$228,D$2,FALSE)</f>
        <v>Tra 02</v>
      </c>
      <c r="E101" s="1258" t="str">
        <f>VLOOKUP($A101,'Pre-Assessment Estimator'!$A$10:$Z$228,E$2,FALSE)</f>
        <v>Pre-requisite: transport assessment and travel plan</v>
      </c>
      <c r="F101" s="574" t="str">
        <f>VLOOKUP($A101,'Pre-Assessment Estimator'!$A$10:$Z$228,F$2,FALSE)</f>
        <v>Yes/No</v>
      </c>
      <c r="G101" s="580" t="str">
        <f>IF(VLOOKUP($A101,'Pre-Assessment Estimator'!$A$10:$Z$228,G$2,FALSE)=0,"",VLOOKUP($A101,'Pre-Assessment Estimator'!$A$10:$Z$228,G$2,FALSE))</f>
        <v/>
      </c>
      <c r="H101" s="1220" t="str">
        <f>VLOOKUP($A101,'Pre-Assessment Estimator'!$A$10:$Z$228,H$2,FALSE)</f>
        <v>-</v>
      </c>
      <c r="I101" s="576" t="str">
        <f>VLOOKUP($A101,'Pre-Assessment Estimator'!$A$10:$Z$228,I$2,FALSE)</f>
        <v>N/A</v>
      </c>
      <c r="J101" s="577" t="str">
        <f>IF(VLOOKUP($A101,'Pre-Assessment Estimator'!$A$10:$Z$228,J$2,FALSE)=0,"",VLOOKUP($A101,'Pre-Assessment Estimator'!$A$10:$Z$228,J$2,FALSE))</f>
        <v/>
      </c>
      <c r="K101" s="577" t="str">
        <f>IF(VLOOKUP($A101,'Pre-Assessment Estimator'!$A$10:$Z$228,K$2,FALSE)=0,"",VLOOKUP($A101,'Pre-Assessment Estimator'!$A$10:$Z$228,K$2,FALSE))</f>
        <v/>
      </c>
      <c r="L101" s="578" t="str">
        <f>IF(VLOOKUP($A101,'Pre-Assessment Estimator'!$A$10:$Z$228,L$2,FALSE)=0,"",VLOOKUP($A101,'Pre-Assessment Estimator'!$A$10:$Z$228,L$2,FALSE))</f>
        <v/>
      </c>
      <c r="M101" s="579"/>
      <c r="N101" s="580" t="str">
        <f>IF(VLOOKUP($A101,'Pre-Assessment Estimator'!$A$10:$Z$228,N$2,FALSE)=0,"",VLOOKUP($A101,'Pre-Assessment Estimator'!$A$10:$Z$228,N$2,FALSE))</f>
        <v/>
      </c>
      <c r="O101" s="575" t="str">
        <f>VLOOKUP($A101,'Pre-Assessment Estimator'!$A$10:$Z$228,O$2,FALSE)</f>
        <v>-</v>
      </c>
      <c r="P101" s="574" t="str">
        <f>VLOOKUP($A101,'Pre-Assessment Estimator'!$A$10:$Z$228,P$2,FALSE)</f>
        <v>N/A</v>
      </c>
      <c r="Q101" s="577" t="str">
        <f>IF(VLOOKUP($A101,'Pre-Assessment Estimator'!$A$10:$Z$228,Q$2,FALSE)=0,"",VLOOKUP($A101,'Pre-Assessment Estimator'!$A$10:$Z$228,Q$2,FALSE))</f>
        <v/>
      </c>
      <c r="R101" s="577" t="str">
        <f>IF(VLOOKUP($A101,'Pre-Assessment Estimator'!$A$10:$Z$228,R$2,FALSE)=0,"",VLOOKUP($A101,'Pre-Assessment Estimator'!$A$10:$Z$228,R$2,FALSE))</f>
        <v/>
      </c>
      <c r="S101" s="578" t="str">
        <f>IF(VLOOKUP($A101,'Pre-Assessment Estimator'!$A$10:$Z$228,S$2,FALSE)=0,"",VLOOKUP($A101,'Pre-Assessment Estimator'!$A$10:$Z$228,S$2,FALSE))</f>
        <v/>
      </c>
      <c r="T101" s="581"/>
      <c r="U101" s="580" t="str">
        <f>IF(VLOOKUP($A101,'Pre-Assessment Estimator'!$A$10:$Z$228,U$2,FALSE)=0,"",VLOOKUP($A101,'Pre-Assessment Estimator'!$A$10:$Z$228,U$2,FALSE))</f>
        <v/>
      </c>
      <c r="V101" s="575" t="str">
        <f>VLOOKUP($A101,'Pre-Assessment Estimator'!$A$10:$Z$228,V$2,FALSE)</f>
        <v>-</v>
      </c>
      <c r="W101" s="574" t="str">
        <f>VLOOKUP($A101,'Pre-Assessment Estimator'!$A$10:$Z$228,W$2,FALSE)</f>
        <v>N/A</v>
      </c>
      <c r="X101" s="577" t="str">
        <f>IF(VLOOKUP($A101,'Pre-Assessment Estimator'!$A$10:$Z$228,X$2,FALSE)=0,"",VLOOKUP($A101,'Pre-Assessment Estimator'!$A$10:$Z$228,X$2,FALSE))</f>
        <v/>
      </c>
      <c r="Y101" s="577" t="str">
        <f>IF(VLOOKUP($A101,'Pre-Assessment Estimator'!$A$10:$Z$228,Y$2,FALSE)=0,"",VLOOKUP($A101,'Pre-Assessment Estimator'!$A$10:$Z$228,Y$2,FALSE))</f>
        <v/>
      </c>
      <c r="Z101" s="370" t="str">
        <f>IF(VLOOKUP($A101,'Pre-Assessment Estimator'!$A$10:$Z$228,Z$2,FALSE)=0,"",VLOOKUP($A101,'Pre-Assessment Estimator'!$A$10:$Z$228,Z$2,FALSE))</f>
        <v/>
      </c>
      <c r="AA101" s="696">
        <v>89</v>
      </c>
      <c r="AB101" s="577" t="str">
        <f>IF(VLOOKUP($A101,'Pre-Assessment Estimator'!$A$10:$AB$228,AB$2,FALSE)=0,"",VLOOKUP($A101,'Pre-Assessment Estimator'!$A$10:$AB$228,AB$2,FALSE))</f>
        <v/>
      </c>
      <c r="AF101" s="386">
        <f t="shared" si="2"/>
        <v>1</v>
      </c>
    </row>
    <row r="102" spans="1:32" x14ac:dyDescent="0.25">
      <c r="A102" s="823">
        <v>93</v>
      </c>
      <c r="B102" s="1234" t="s">
        <v>66</v>
      </c>
      <c r="C102" s="1234"/>
      <c r="D102" s="1257" t="str">
        <f>VLOOKUP($A102,'Pre-Assessment Estimator'!$A$10:$Z$228,D$2,FALSE)</f>
        <v>Tra 02</v>
      </c>
      <c r="E102" s="1258" t="str">
        <f>VLOOKUP($A102,'Pre-Assessment Estimator'!$A$10:$Z$228,E$2,FALSE)</f>
        <v xml:space="preserve">Transport options implementation </v>
      </c>
      <c r="F102" s="574">
        <f>VLOOKUP($A102,'Pre-Assessment Estimator'!$A$10:$Z$228,F$2,FALSE)</f>
        <v>10</v>
      </c>
      <c r="G102" s="580" t="str">
        <f>IF(VLOOKUP($A102,'Pre-Assessment Estimator'!$A$10:$Z$228,G$2,FALSE)=0,"",VLOOKUP($A102,'Pre-Assessment Estimator'!$A$10:$Z$228,G$2,FALSE))</f>
        <v/>
      </c>
      <c r="H102" s="1220">
        <f>VLOOKUP($A102,'Pre-Assessment Estimator'!$A$10:$Z$228,H$2,FALSE)</f>
        <v>0</v>
      </c>
      <c r="I102" s="576" t="str">
        <f>VLOOKUP($A102,'Pre-Assessment Estimator'!$A$10:$Z$228,I$2,FALSE)</f>
        <v>N/A</v>
      </c>
      <c r="J102" s="577" t="str">
        <f>IF(VLOOKUP($A102,'Pre-Assessment Estimator'!$A$10:$Z$228,J$2,FALSE)=0,"",VLOOKUP($A102,'Pre-Assessment Estimator'!$A$10:$Z$228,J$2,FALSE))</f>
        <v/>
      </c>
      <c r="K102" s="577" t="str">
        <f>IF(VLOOKUP($A102,'Pre-Assessment Estimator'!$A$10:$Z$228,K$2,FALSE)=0,"",VLOOKUP($A102,'Pre-Assessment Estimator'!$A$10:$Z$228,K$2,FALSE))</f>
        <v/>
      </c>
      <c r="L102" s="578" t="str">
        <f>IF(VLOOKUP($A102,'Pre-Assessment Estimator'!$A$10:$Z$228,L$2,FALSE)=0,"",VLOOKUP($A102,'Pre-Assessment Estimator'!$A$10:$Z$228,L$2,FALSE))</f>
        <v/>
      </c>
      <c r="M102" s="579"/>
      <c r="N102" s="580" t="str">
        <f>IF(VLOOKUP($A102,'Pre-Assessment Estimator'!$A$10:$Z$228,N$2,FALSE)=0,"",VLOOKUP($A102,'Pre-Assessment Estimator'!$A$10:$Z$228,N$2,FALSE))</f>
        <v/>
      </c>
      <c r="O102" s="575">
        <f>VLOOKUP($A102,'Pre-Assessment Estimator'!$A$10:$Z$228,O$2,FALSE)</f>
        <v>0</v>
      </c>
      <c r="P102" s="574" t="str">
        <f>VLOOKUP($A102,'Pre-Assessment Estimator'!$A$10:$Z$228,P$2,FALSE)</f>
        <v>N/A</v>
      </c>
      <c r="Q102" s="577" t="str">
        <f>IF(VLOOKUP($A102,'Pre-Assessment Estimator'!$A$10:$Z$228,Q$2,FALSE)=0,"",VLOOKUP($A102,'Pre-Assessment Estimator'!$A$10:$Z$228,Q$2,FALSE))</f>
        <v/>
      </c>
      <c r="R102" s="577" t="str">
        <f>IF(VLOOKUP($A102,'Pre-Assessment Estimator'!$A$10:$Z$228,R$2,FALSE)=0,"",VLOOKUP($A102,'Pre-Assessment Estimator'!$A$10:$Z$228,R$2,FALSE))</f>
        <v/>
      </c>
      <c r="S102" s="578" t="str">
        <f>IF(VLOOKUP($A102,'Pre-Assessment Estimator'!$A$10:$Z$228,S$2,FALSE)=0,"",VLOOKUP($A102,'Pre-Assessment Estimator'!$A$10:$Z$228,S$2,FALSE))</f>
        <v/>
      </c>
      <c r="T102" s="581"/>
      <c r="U102" s="580" t="str">
        <f>IF(VLOOKUP($A102,'Pre-Assessment Estimator'!$A$10:$Z$228,U$2,FALSE)=0,"",VLOOKUP($A102,'Pre-Assessment Estimator'!$A$10:$Z$228,U$2,FALSE))</f>
        <v/>
      </c>
      <c r="V102" s="575">
        <f>VLOOKUP($A102,'Pre-Assessment Estimator'!$A$10:$Z$228,V$2,FALSE)</f>
        <v>0</v>
      </c>
      <c r="W102" s="574" t="str">
        <f>VLOOKUP($A102,'Pre-Assessment Estimator'!$A$10:$Z$228,W$2,FALSE)</f>
        <v>N/A</v>
      </c>
      <c r="X102" s="577" t="str">
        <f>IF(VLOOKUP($A102,'Pre-Assessment Estimator'!$A$10:$Z$228,X$2,FALSE)=0,"",VLOOKUP($A102,'Pre-Assessment Estimator'!$A$10:$Z$228,X$2,FALSE))</f>
        <v/>
      </c>
      <c r="Y102" s="577" t="str">
        <f>IF(VLOOKUP($A102,'Pre-Assessment Estimator'!$A$10:$Z$228,Y$2,FALSE)=0,"",VLOOKUP($A102,'Pre-Assessment Estimator'!$A$10:$Z$228,Y$2,FALSE))</f>
        <v/>
      </c>
      <c r="Z102" s="370" t="str">
        <f>IF(VLOOKUP($A102,'Pre-Assessment Estimator'!$A$10:$Z$228,Z$2,FALSE)=0,"",VLOOKUP($A102,'Pre-Assessment Estimator'!$A$10:$Z$228,Z$2,FALSE))</f>
        <v/>
      </c>
      <c r="AA102" s="696">
        <v>90</v>
      </c>
      <c r="AB102" s="577" t="str">
        <f>IF(VLOOKUP($A102,'Pre-Assessment Estimator'!$A$10:$AB$228,AB$2,FALSE)=0,"",VLOOKUP($A102,'Pre-Assessment Estimator'!$A$10:$AB$228,AB$2,FALSE))</f>
        <v/>
      </c>
      <c r="AF102" s="386">
        <f t="shared" si="2"/>
        <v>1</v>
      </c>
    </row>
    <row r="103" spans="1:32" ht="30" customHeight="1" thickBot="1" x14ac:dyDescent="0.3">
      <c r="A103" s="823">
        <v>94</v>
      </c>
      <c r="B103" s="1234" t="s">
        <v>66</v>
      </c>
      <c r="C103" s="1234"/>
      <c r="D103" s="1259"/>
      <c r="E103" s="1259" t="str">
        <f>VLOOKUP($A103,'Pre-Assessment Estimator'!$A$10:$Z$228,E$2,FALSE)</f>
        <v>Total performance transport</v>
      </c>
      <c r="F103" s="582">
        <f>VLOOKUP($A103,'Pre-Assessment Estimator'!$A$10:$Z$228,F$2,FALSE)</f>
        <v>13</v>
      </c>
      <c r="G103" s="584" t="str">
        <f>IF(VLOOKUP($A103,'Pre-Assessment Estimator'!$A$10:$Z$228,G$2,FALSE)=0,"",VLOOKUP($A103,'Pre-Assessment Estimator'!$A$10:$Z$228,G$2,FALSE))</f>
        <v/>
      </c>
      <c r="H103" s="583">
        <f>VLOOKUP($A103,'Pre-Assessment Estimator'!$A$10:$Z$228,H$2,FALSE)</f>
        <v>0</v>
      </c>
      <c r="I103" s="582" t="str">
        <f>VLOOKUP($A103,'Pre-Assessment Estimator'!$A$10:$Z$228,I$2,FALSE)</f>
        <v>Credits achieved: 0</v>
      </c>
      <c r="J103" s="1202" t="str">
        <f>IF(VLOOKUP($A103,'Pre-Assessment Estimator'!$A$10:$Z$228,J$2,FALSE)=0,"",VLOOKUP($A103,'Pre-Assessment Estimator'!$A$10:$Z$228,J$2,FALSE))</f>
        <v/>
      </c>
      <c r="K103" s="1202" t="str">
        <f>IF(VLOOKUP($A103,'Pre-Assessment Estimator'!$A$10:$Z$228,K$2,FALSE)=0,"",VLOOKUP($A103,'Pre-Assessment Estimator'!$A$10:$Z$228,K$2,FALSE))</f>
        <v/>
      </c>
      <c r="L103" s="1221" t="str">
        <f>IF(VLOOKUP($A103,'Pre-Assessment Estimator'!$A$10:$Z$228,L$2,FALSE)=0,"",VLOOKUP($A103,'Pre-Assessment Estimator'!$A$10:$Z$228,L$2,FALSE))</f>
        <v/>
      </c>
      <c r="M103" s="1222"/>
      <c r="N103" s="584" t="str">
        <f>IF(VLOOKUP($A103,'Pre-Assessment Estimator'!$A$10:$Z$228,N$2,FALSE)=0,"",VLOOKUP($A103,'Pre-Assessment Estimator'!$A$10:$Z$228,N$2,FALSE))</f>
        <v/>
      </c>
      <c r="O103" s="583">
        <f>VLOOKUP($A103,'Pre-Assessment Estimator'!$A$10:$Z$228,O$2,FALSE)</f>
        <v>0</v>
      </c>
      <c r="P103" s="582" t="str">
        <f>VLOOKUP($A103,'Pre-Assessment Estimator'!$A$10:$Z$228,P$2,FALSE)</f>
        <v>Credits achieved: 0</v>
      </c>
      <c r="Q103" s="1202" t="str">
        <f>IF(VLOOKUP($A103,'Pre-Assessment Estimator'!$A$10:$Z$228,Q$2,FALSE)=0,"",VLOOKUP($A103,'Pre-Assessment Estimator'!$A$10:$Z$228,Q$2,FALSE))</f>
        <v/>
      </c>
      <c r="R103" s="1202" t="str">
        <f>IF(VLOOKUP($A103,'Pre-Assessment Estimator'!$A$10:$Z$228,R$2,FALSE)=0,"",VLOOKUP($A103,'Pre-Assessment Estimator'!$A$10:$Z$228,R$2,FALSE))</f>
        <v/>
      </c>
      <c r="S103" s="1221" t="str">
        <f>IF(VLOOKUP($A103,'Pre-Assessment Estimator'!$A$10:$Z$228,S$2,FALSE)=0,"",VLOOKUP($A103,'Pre-Assessment Estimator'!$A$10:$Z$228,S$2,FALSE))</f>
        <v/>
      </c>
      <c r="T103" s="1223"/>
      <c r="U103" s="584" t="str">
        <f>IF(VLOOKUP($A103,'Pre-Assessment Estimator'!$A$10:$Z$228,U$2,FALSE)=0,"",VLOOKUP($A103,'Pre-Assessment Estimator'!$A$10:$Z$228,U$2,FALSE))</f>
        <v/>
      </c>
      <c r="V103" s="583">
        <f>VLOOKUP($A103,'Pre-Assessment Estimator'!$A$10:$Z$228,V$2,FALSE)</f>
        <v>0</v>
      </c>
      <c r="W103" s="582" t="str">
        <f>VLOOKUP($A103,'Pre-Assessment Estimator'!$A$10:$Z$228,W$2,FALSE)</f>
        <v>Credits achieved: 0</v>
      </c>
      <c r="X103" s="1202" t="str">
        <f>IF(VLOOKUP($A103,'Pre-Assessment Estimator'!$A$10:$Z$228,X$2,FALSE)=0,"",VLOOKUP($A103,'Pre-Assessment Estimator'!$A$10:$Z$228,X$2,FALSE))</f>
        <v/>
      </c>
      <c r="Y103" s="1202" t="str">
        <f>IF(VLOOKUP($A103,'Pre-Assessment Estimator'!$A$10:$Z$228,Y$2,FALSE)=0,"",VLOOKUP($A103,'Pre-Assessment Estimator'!$A$10:$Z$228,Y$2,FALSE))</f>
        <v/>
      </c>
      <c r="Z103" s="1224" t="str">
        <f>IF(VLOOKUP($A103,'Pre-Assessment Estimator'!$A$10:$Z$228,Z$2,FALSE)=0,"",VLOOKUP($A103,'Pre-Assessment Estimator'!$A$10:$Z$228,Z$2,FALSE))</f>
        <v/>
      </c>
      <c r="AA103" s="696">
        <v>91</v>
      </c>
      <c r="AB103" s="577" t="str">
        <f>IF(VLOOKUP($A103,'Pre-Assessment Estimator'!$A$10:$AB$228,AB$2,FALSE)=0,"",VLOOKUP($A103,'Pre-Assessment Estimator'!$A$10:$AB$228,AB$2,FALSE))</f>
        <v/>
      </c>
      <c r="AF103" s="386">
        <f t="shared" si="2"/>
        <v>1</v>
      </c>
    </row>
    <row r="104" spans="1:32" x14ac:dyDescent="0.25">
      <c r="A104" s="823">
        <v>95</v>
      </c>
      <c r="B104" s="1234" t="s">
        <v>66</v>
      </c>
      <c r="C104" s="1234"/>
      <c r="D104" s="585"/>
      <c r="E104" s="585"/>
      <c r="F104" s="586"/>
      <c r="G104" s="586"/>
      <c r="H104" s="586"/>
      <c r="I104" s="586"/>
      <c r="J104" s="585"/>
      <c r="K104" s="586"/>
      <c r="L104" s="585"/>
      <c r="M104" s="579"/>
      <c r="N104" s="586"/>
      <c r="O104" s="586"/>
      <c r="P104" s="586"/>
      <c r="Q104" s="585"/>
      <c r="R104" s="586"/>
      <c r="S104" s="585"/>
      <c r="T104" s="581"/>
      <c r="U104" s="586"/>
      <c r="V104" s="586"/>
      <c r="W104" s="586"/>
      <c r="X104" s="585"/>
      <c r="Y104" s="586"/>
      <c r="Z104" s="343"/>
      <c r="AA104" s="696">
        <v>92</v>
      </c>
      <c r="AB104" s="585"/>
      <c r="AC104" s="389"/>
      <c r="AD104" s="389"/>
      <c r="AE104" s="389"/>
      <c r="AF104" s="386">
        <f t="shared" si="2"/>
        <v>1</v>
      </c>
    </row>
    <row r="105" spans="1:32" ht="18.75" x14ac:dyDescent="0.25">
      <c r="A105" s="823">
        <v>96</v>
      </c>
      <c r="B105" s="823" t="s">
        <v>58</v>
      </c>
      <c r="C105" s="823"/>
      <c r="D105" s="587"/>
      <c r="E105" s="587" t="s">
        <v>58</v>
      </c>
      <c r="F105" s="570"/>
      <c r="G105" s="570"/>
      <c r="H105" s="570"/>
      <c r="I105" s="570"/>
      <c r="J105" s="571"/>
      <c r="K105" s="570"/>
      <c r="L105" s="571"/>
      <c r="M105" s="579"/>
      <c r="N105" s="570"/>
      <c r="O105" s="570"/>
      <c r="P105" s="570"/>
      <c r="Q105" s="571"/>
      <c r="R105" s="570"/>
      <c r="S105" s="571"/>
      <c r="T105" s="581"/>
      <c r="U105" s="570"/>
      <c r="V105" s="570"/>
      <c r="W105" s="570"/>
      <c r="X105" s="571"/>
      <c r="Y105" s="570"/>
      <c r="Z105" s="411"/>
      <c r="AA105" s="696">
        <v>93</v>
      </c>
      <c r="AB105" s="697"/>
      <c r="AF105" s="386">
        <f t="shared" si="2"/>
        <v>1</v>
      </c>
    </row>
    <row r="106" spans="1:32" x14ac:dyDescent="0.25">
      <c r="A106" s="823">
        <v>97</v>
      </c>
      <c r="B106" s="1234" t="s">
        <v>58</v>
      </c>
      <c r="C106" s="1234"/>
      <c r="D106" s="1256" t="str">
        <f>VLOOKUP($A106,'Pre-Assessment Estimator'!$A$10:$Z$228,D$2,FALSE)</f>
        <v>Wat 01</v>
      </c>
      <c r="E106" s="1256" t="str">
        <f>VLOOKUP($A106,'Pre-Assessment Estimator'!$A$10:$Z$228,E$2,FALSE)</f>
        <v>Wat 01 Water consumption</v>
      </c>
      <c r="F106" s="574">
        <f>VLOOKUP($A106,'Pre-Assessment Estimator'!$A$10:$Z$228,F$2,FALSE)</f>
        <v>5</v>
      </c>
      <c r="G106" s="580" t="str">
        <f>IF(VLOOKUP($A106,'Pre-Assessment Estimator'!$A$10:$Z$228,G$2,FALSE)=0,"",VLOOKUP($A106,'Pre-Assessment Estimator'!$A$10:$Z$228,G$2,FALSE))</f>
        <v/>
      </c>
      <c r="H106" s="1220" t="str">
        <f>VLOOKUP($A106,'Pre-Assessment Estimator'!$A$10:$Z$228,H$2,FALSE)</f>
        <v>0 c. 0 %</v>
      </c>
      <c r="I106" s="576" t="str">
        <f>VLOOKUP($A106,'Pre-Assessment Estimator'!$A$10:$Z$228,I$2,FALSE)</f>
        <v>N/A</v>
      </c>
      <c r="J106" s="577" t="str">
        <f>IF(VLOOKUP($A106,'Pre-Assessment Estimator'!$A$10:$Z$228,J$2,FALSE)=0,"",VLOOKUP($A106,'Pre-Assessment Estimator'!$A$10:$Z$228,J$2,FALSE))</f>
        <v/>
      </c>
      <c r="K106" s="577" t="str">
        <f>IF(VLOOKUP($A106,'Pre-Assessment Estimator'!$A$10:$Z$228,K$2,FALSE)=0,"",VLOOKUP($A106,'Pre-Assessment Estimator'!$A$10:$Z$228,K$2,FALSE))</f>
        <v/>
      </c>
      <c r="L106" s="578" t="str">
        <f>IF(VLOOKUP($A106,'Pre-Assessment Estimator'!$A$10:$Z$228,L$2,FALSE)=0,"",VLOOKUP($A106,'Pre-Assessment Estimator'!$A$10:$Z$228,L$2,FALSE))</f>
        <v/>
      </c>
      <c r="M106" s="579"/>
      <c r="N106" s="580" t="str">
        <f>IF(VLOOKUP($A106,'Pre-Assessment Estimator'!$A$10:$Z$228,N$2,FALSE)=0,"",VLOOKUP($A106,'Pre-Assessment Estimator'!$A$10:$Z$228,N$2,FALSE))</f>
        <v/>
      </c>
      <c r="O106" s="575" t="str">
        <f>VLOOKUP($A106,'Pre-Assessment Estimator'!$A$10:$Z$228,O$2,FALSE)</f>
        <v>0 c. 0 %</v>
      </c>
      <c r="P106" s="574" t="str">
        <f>VLOOKUP($A106,'Pre-Assessment Estimator'!$A$10:$Z$228,P$2,FALSE)</f>
        <v>N/A</v>
      </c>
      <c r="Q106" s="577" t="str">
        <f>IF(VLOOKUP($A106,'Pre-Assessment Estimator'!$A$10:$Z$228,Q$2,FALSE)=0,"",VLOOKUP($A106,'Pre-Assessment Estimator'!$A$10:$Z$228,Q$2,FALSE))</f>
        <v/>
      </c>
      <c r="R106" s="577" t="str">
        <f>IF(VLOOKUP($A106,'Pre-Assessment Estimator'!$A$10:$Z$228,R$2,FALSE)=0,"",VLOOKUP($A106,'Pre-Assessment Estimator'!$A$10:$Z$228,R$2,FALSE))</f>
        <v/>
      </c>
      <c r="S106" s="578" t="str">
        <f>IF(VLOOKUP($A106,'Pre-Assessment Estimator'!$A$10:$Z$228,S$2,FALSE)=0,"",VLOOKUP($A106,'Pre-Assessment Estimator'!$A$10:$Z$228,S$2,FALSE))</f>
        <v/>
      </c>
      <c r="T106" s="581"/>
      <c r="U106" s="580" t="str">
        <f>IF(VLOOKUP($A106,'Pre-Assessment Estimator'!$A$10:$Z$228,U$2,FALSE)=0,"",VLOOKUP($A106,'Pre-Assessment Estimator'!$A$10:$Z$228,U$2,FALSE))</f>
        <v/>
      </c>
      <c r="V106" s="575" t="str">
        <f>VLOOKUP($A106,'Pre-Assessment Estimator'!$A$10:$Z$228,V$2,FALSE)</f>
        <v>0 c. 0 %</v>
      </c>
      <c r="W106" s="574" t="str">
        <f>VLOOKUP($A106,'Pre-Assessment Estimator'!$A$10:$Z$228,W$2,FALSE)</f>
        <v>N/A</v>
      </c>
      <c r="X106" s="577" t="str">
        <f>IF(VLOOKUP($A106,'Pre-Assessment Estimator'!$A$10:$Z$228,X$2,FALSE)=0,"",VLOOKUP($A106,'Pre-Assessment Estimator'!$A$10:$Z$228,X$2,FALSE))</f>
        <v/>
      </c>
      <c r="Y106" s="577" t="str">
        <f>IF(VLOOKUP($A106,'Pre-Assessment Estimator'!$A$10:$Z$228,Y$2,FALSE)=0,"",VLOOKUP($A106,'Pre-Assessment Estimator'!$A$10:$Z$228,Y$2,FALSE))</f>
        <v/>
      </c>
      <c r="Z106" s="370" t="str">
        <f>IF(VLOOKUP($A106,'Pre-Assessment Estimator'!$A$10:$Z$228,Z$2,FALSE)=0,"",VLOOKUP($A106,'Pre-Assessment Estimator'!$A$10:$Z$228,Z$2,FALSE))</f>
        <v/>
      </c>
      <c r="AA106" s="696">
        <v>94</v>
      </c>
      <c r="AB106" s="577" t="str">
        <f>IF(VLOOKUP($A106,'Pre-Assessment Estimator'!$A$10:$AB$228,AB$2,FALSE)=0,"",VLOOKUP($A106,'Pre-Assessment Estimator'!$A$10:$AB$228,AB$2,FALSE))</f>
        <v/>
      </c>
      <c r="AF106" s="386">
        <f t="shared" si="2"/>
        <v>1</v>
      </c>
    </row>
    <row r="107" spans="1:32" x14ac:dyDescent="0.25">
      <c r="A107" s="823">
        <v>98</v>
      </c>
      <c r="B107" s="1234" t="s">
        <v>58</v>
      </c>
      <c r="C107" s="1234"/>
      <c r="D107" s="1257" t="str">
        <f>VLOOKUP($A107,'Pre-Assessment Estimator'!$A$10:$Z$228,D$2,FALSE)</f>
        <v>Wat 01</v>
      </c>
      <c r="E107" s="1258" t="str">
        <f>VLOOKUP($A107,'Pre-Assessment Estimator'!$A$10:$Z$228,E$2,FALSE)</f>
        <v>Water efficient components</v>
      </c>
      <c r="F107" s="574">
        <f>VLOOKUP($A107,'Pre-Assessment Estimator'!$A$10:$Z$228,F$2,FALSE)</f>
        <v>5</v>
      </c>
      <c r="G107" s="580" t="str">
        <f>IF(VLOOKUP($A107,'Pre-Assessment Estimator'!$A$10:$Z$228,G$2,FALSE)=0,"",VLOOKUP($A107,'Pre-Assessment Estimator'!$A$10:$Z$228,G$2,FALSE))</f>
        <v/>
      </c>
      <c r="H107" s="1220">
        <f>VLOOKUP($A107,'Pre-Assessment Estimator'!$A$10:$Z$228,H$2,FALSE)</f>
        <v>0</v>
      </c>
      <c r="I107" s="576" t="str">
        <f>VLOOKUP($A107,'Pre-Assessment Estimator'!$A$10:$Z$228,I$2,FALSE)</f>
        <v>Very Good</v>
      </c>
      <c r="J107" s="577" t="str">
        <f>IF(VLOOKUP($A107,'Pre-Assessment Estimator'!$A$10:$Z$228,J$2,FALSE)=0,"",VLOOKUP($A107,'Pre-Assessment Estimator'!$A$10:$Z$228,J$2,FALSE))</f>
        <v/>
      </c>
      <c r="K107" s="577" t="str">
        <f>IF(VLOOKUP($A107,'Pre-Assessment Estimator'!$A$10:$Z$228,K$2,FALSE)=0,"",VLOOKUP($A107,'Pre-Assessment Estimator'!$A$10:$Z$228,K$2,FALSE))</f>
        <v/>
      </c>
      <c r="L107" s="578" t="str">
        <f>IF(VLOOKUP($A107,'Pre-Assessment Estimator'!$A$10:$Z$228,L$2,FALSE)=0,"",VLOOKUP($A107,'Pre-Assessment Estimator'!$A$10:$Z$228,L$2,FALSE))</f>
        <v/>
      </c>
      <c r="M107" s="579"/>
      <c r="N107" s="580" t="str">
        <f>IF(VLOOKUP($A107,'Pre-Assessment Estimator'!$A$10:$Z$228,N$2,FALSE)=0,"",VLOOKUP($A107,'Pre-Assessment Estimator'!$A$10:$Z$228,N$2,FALSE))</f>
        <v/>
      </c>
      <c r="O107" s="575">
        <f>VLOOKUP($A107,'Pre-Assessment Estimator'!$A$10:$Z$228,O$2,FALSE)</f>
        <v>0</v>
      </c>
      <c r="P107" s="574" t="str">
        <f>VLOOKUP($A107,'Pre-Assessment Estimator'!$A$10:$Z$228,P$2,FALSE)</f>
        <v>Very Good</v>
      </c>
      <c r="Q107" s="577" t="str">
        <f>IF(VLOOKUP($A107,'Pre-Assessment Estimator'!$A$10:$Z$228,Q$2,FALSE)=0,"",VLOOKUP($A107,'Pre-Assessment Estimator'!$A$10:$Z$228,Q$2,FALSE))</f>
        <v/>
      </c>
      <c r="R107" s="577" t="str">
        <f>IF(VLOOKUP($A107,'Pre-Assessment Estimator'!$A$10:$Z$228,R$2,FALSE)=0,"",VLOOKUP($A107,'Pre-Assessment Estimator'!$A$10:$Z$228,R$2,FALSE))</f>
        <v/>
      </c>
      <c r="S107" s="578" t="str">
        <f>IF(VLOOKUP($A107,'Pre-Assessment Estimator'!$A$10:$Z$228,S$2,FALSE)=0,"",VLOOKUP($A107,'Pre-Assessment Estimator'!$A$10:$Z$228,S$2,FALSE))</f>
        <v/>
      </c>
      <c r="T107" s="581"/>
      <c r="U107" s="580" t="str">
        <f>IF(VLOOKUP($A107,'Pre-Assessment Estimator'!$A$10:$Z$228,U$2,FALSE)=0,"",VLOOKUP($A107,'Pre-Assessment Estimator'!$A$10:$Z$228,U$2,FALSE))</f>
        <v/>
      </c>
      <c r="V107" s="575">
        <f>VLOOKUP($A107,'Pre-Assessment Estimator'!$A$10:$Z$228,V$2,FALSE)</f>
        <v>0</v>
      </c>
      <c r="W107" s="574" t="str">
        <f>VLOOKUP($A107,'Pre-Assessment Estimator'!$A$10:$Z$228,W$2,FALSE)</f>
        <v>Very Good</v>
      </c>
      <c r="X107" s="577" t="str">
        <f>IF(VLOOKUP($A107,'Pre-Assessment Estimator'!$A$10:$Z$228,X$2,FALSE)=0,"",VLOOKUP($A107,'Pre-Assessment Estimator'!$A$10:$Z$228,X$2,FALSE))</f>
        <v/>
      </c>
      <c r="Y107" s="577" t="str">
        <f>IF(VLOOKUP($A107,'Pre-Assessment Estimator'!$A$10:$Z$228,Y$2,FALSE)=0,"",VLOOKUP($A107,'Pre-Assessment Estimator'!$A$10:$Z$228,Y$2,FALSE))</f>
        <v/>
      </c>
      <c r="Z107" s="370" t="str">
        <f>IF(VLOOKUP($A107,'Pre-Assessment Estimator'!$A$10:$Z$228,Z$2,FALSE)=0,"",VLOOKUP($A107,'Pre-Assessment Estimator'!$A$10:$Z$228,Z$2,FALSE))</f>
        <v/>
      </c>
      <c r="AA107" s="696">
        <v>95</v>
      </c>
      <c r="AB107" s="577" t="str">
        <f>IF(VLOOKUP($A107,'Pre-Assessment Estimator'!$A$10:$AB$228,AB$2,FALSE)=0,"",VLOOKUP($A107,'Pre-Assessment Estimator'!$A$10:$AB$228,AB$2,FALSE))</f>
        <v/>
      </c>
      <c r="AF107" s="386">
        <f t="shared" si="2"/>
        <v>1</v>
      </c>
    </row>
    <row r="108" spans="1:32" x14ac:dyDescent="0.25">
      <c r="A108" s="823">
        <v>99</v>
      </c>
      <c r="B108" s="1234" t="s">
        <v>58</v>
      </c>
      <c r="C108" s="1234"/>
      <c r="D108" s="1257" t="str">
        <f>VLOOKUP($A108,'Pre-Assessment Estimator'!$A$10:$Z$228,D$2,FALSE)</f>
        <v>Wat 01</v>
      </c>
      <c r="E108" s="1260" t="str">
        <f>VLOOKUP($A108,'Pre-Assessment Estimator'!$A$10:$Z$228,E$2,FALSE)</f>
        <v>EU taxonomy requirements: criterion 2</v>
      </c>
      <c r="F108" s="574" t="str">
        <f>VLOOKUP($A108,'Pre-Assessment Estimator'!$A$10:$Z$228,F$2,FALSE)</f>
        <v>Yes/No</v>
      </c>
      <c r="G108" s="580" t="str">
        <f>IF(VLOOKUP($A108,'Pre-Assessment Estimator'!$A$10:$Z$228,G$2,FALSE)=0,"",VLOOKUP($A108,'Pre-Assessment Estimator'!$A$10:$Z$228,G$2,FALSE))</f>
        <v/>
      </c>
      <c r="H108" s="1220" t="str">
        <f>VLOOKUP($A108,'Pre-Assessment Estimator'!$A$10:$Z$228,H$2,FALSE)</f>
        <v>-</v>
      </c>
      <c r="I108" s="576" t="str">
        <f>VLOOKUP($A108,'Pre-Assessment Estimator'!$A$10:$Z$228,I$2,FALSE)</f>
        <v>N/A</v>
      </c>
      <c r="J108" s="577" t="str">
        <f>IF(VLOOKUP($A108,'Pre-Assessment Estimator'!$A$10:$Z$228,J$2,FALSE)=0,"",VLOOKUP($A108,'Pre-Assessment Estimator'!$A$10:$Z$228,J$2,FALSE))</f>
        <v/>
      </c>
      <c r="K108" s="577" t="str">
        <f>IF(VLOOKUP($A108,'Pre-Assessment Estimator'!$A$10:$Z$228,K$2,FALSE)=0,"",VLOOKUP($A108,'Pre-Assessment Estimator'!$A$10:$Z$228,K$2,FALSE))</f>
        <v/>
      </c>
      <c r="L108" s="578" t="str">
        <f>IF(VLOOKUP($A108,'Pre-Assessment Estimator'!$A$10:$Z$228,L$2,FALSE)=0,"",VLOOKUP($A108,'Pre-Assessment Estimator'!$A$10:$Z$228,L$2,FALSE))</f>
        <v/>
      </c>
      <c r="M108" s="579"/>
      <c r="N108" s="580" t="str">
        <f>IF(VLOOKUP($A108,'Pre-Assessment Estimator'!$A$10:$Z$228,N$2,FALSE)=0,"",VLOOKUP($A108,'Pre-Assessment Estimator'!$A$10:$Z$228,N$2,FALSE))</f>
        <v/>
      </c>
      <c r="O108" s="575" t="str">
        <f>VLOOKUP($A108,'Pre-Assessment Estimator'!$A$10:$Z$228,O$2,FALSE)</f>
        <v>-</v>
      </c>
      <c r="P108" s="574" t="str">
        <f>VLOOKUP($A108,'Pre-Assessment Estimator'!$A$10:$Z$228,P$2,FALSE)</f>
        <v>N/A</v>
      </c>
      <c r="Q108" s="577" t="str">
        <f>IF(VLOOKUP($A108,'Pre-Assessment Estimator'!$A$10:$Z$228,Q$2,FALSE)=0,"",VLOOKUP($A108,'Pre-Assessment Estimator'!$A$10:$Z$228,Q$2,FALSE))</f>
        <v/>
      </c>
      <c r="R108" s="577" t="str">
        <f>IF(VLOOKUP($A108,'Pre-Assessment Estimator'!$A$10:$Z$228,R$2,FALSE)=0,"",VLOOKUP($A108,'Pre-Assessment Estimator'!$A$10:$Z$228,R$2,FALSE))</f>
        <v/>
      </c>
      <c r="S108" s="578" t="str">
        <f>IF(VLOOKUP($A108,'Pre-Assessment Estimator'!$A$10:$Z$228,S$2,FALSE)=0,"",VLOOKUP($A108,'Pre-Assessment Estimator'!$A$10:$Z$228,S$2,FALSE))</f>
        <v/>
      </c>
      <c r="T108" s="581"/>
      <c r="U108" s="580" t="str">
        <f>IF(VLOOKUP($A108,'Pre-Assessment Estimator'!$A$10:$Z$228,U$2,FALSE)=0,"",VLOOKUP($A108,'Pre-Assessment Estimator'!$A$10:$Z$228,U$2,FALSE))</f>
        <v/>
      </c>
      <c r="V108" s="575" t="str">
        <f>VLOOKUP($A108,'Pre-Assessment Estimator'!$A$10:$Z$228,V$2,FALSE)</f>
        <v>-</v>
      </c>
      <c r="W108" s="574" t="str">
        <f>VLOOKUP($A108,'Pre-Assessment Estimator'!$A$10:$Z$228,W$2,FALSE)</f>
        <v>N/A</v>
      </c>
      <c r="X108" s="577" t="str">
        <f>IF(VLOOKUP($A108,'Pre-Assessment Estimator'!$A$10:$Z$228,X$2,FALSE)=0,"",VLOOKUP($A108,'Pre-Assessment Estimator'!$A$10:$Z$228,X$2,FALSE))</f>
        <v/>
      </c>
      <c r="Y108" s="577" t="str">
        <f>IF(VLOOKUP($A108,'Pre-Assessment Estimator'!$A$10:$Z$228,Y$2,FALSE)=0,"",VLOOKUP($A108,'Pre-Assessment Estimator'!$A$10:$Z$228,Y$2,FALSE))</f>
        <v/>
      </c>
      <c r="Z108" s="370" t="str">
        <f>IF(VLOOKUP($A108,'Pre-Assessment Estimator'!$A$10:$Z$228,Z$2,FALSE)=0,"",VLOOKUP($A108,'Pre-Assessment Estimator'!$A$10:$Z$228,Z$2,FALSE))</f>
        <v/>
      </c>
      <c r="AA108" s="696">
        <v>96</v>
      </c>
      <c r="AB108" s="577" t="str">
        <f>IF(VLOOKUP($A108,'Pre-Assessment Estimator'!$A$10:$AB$228,AB$2,FALSE)=0,"",VLOOKUP($A108,'Pre-Assessment Estimator'!$A$10:$AB$228,AB$2,FALSE))</f>
        <v/>
      </c>
      <c r="AF108" s="386">
        <f t="shared" si="2"/>
        <v>1</v>
      </c>
    </row>
    <row r="109" spans="1:32" x14ac:dyDescent="0.25">
      <c r="A109" s="823">
        <v>100</v>
      </c>
      <c r="B109" s="1234" t="s">
        <v>58</v>
      </c>
      <c r="C109" s="1234"/>
      <c r="D109" s="1257" t="str">
        <f>VLOOKUP($A109,'Pre-Assessment Estimator'!$A$10:$Z$228,D$2,FALSE)</f>
        <v>Wat 02</v>
      </c>
      <c r="E109" s="1258" t="str">
        <f>VLOOKUP($A109,'Pre-Assessment Estimator'!$A$10:$Z$228,E$2,FALSE)</f>
        <v>Wat 02 Water monitoring</v>
      </c>
      <c r="F109" s="574">
        <f>VLOOKUP($A109,'Pre-Assessment Estimator'!$A$10:$Z$228,F$2,FALSE)</f>
        <v>1</v>
      </c>
      <c r="G109" s="580" t="str">
        <f>IF(VLOOKUP($A109,'Pre-Assessment Estimator'!$A$10:$Z$228,G$2,FALSE)=0,"",VLOOKUP($A109,'Pre-Assessment Estimator'!$A$10:$Z$228,G$2,FALSE))</f>
        <v/>
      </c>
      <c r="H109" s="1220" t="str">
        <f>VLOOKUP($A109,'Pre-Assessment Estimator'!$A$10:$Z$228,H$2,FALSE)</f>
        <v>0 c. 0 %</v>
      </c>
      <c r="I109" s="576" t="str">
        <f>VLOOKUP($A109,'Pre-Assessment Estimator'!$A$10:$Z$228,I$2,FALSE)</f>
        <v>N/A</v>
      </c>
      <c r="J109" s="577" t="str">
        <f>IF(VLOOKUP($A109,'Pre-Assessment Estimator'!$A$10:$Z$228,J$2,FALSE)=0,"",VLOOKUP($A109,'Pre-Assessment Estimator'!$A$10:$Z$228,J$2,FALSE))</f>
        <v/>
      </c>
      <c r="K109" s="577" t="str">
        <f>IF(VLOOKUP($A109,'Pre-Assessment Estimator'!$A$10:$Z$228,K$2,FALSE)=0,"",VLOOKUP($A109,'Pre-Assessment Estimator'!$A$10:$Z$228,K$2,FALSE))</f>
        <v/>
      </c>
      <c r="L109" s="578" t="str">
        <f>IF(VLOOKUP($A109,'Pre-Assessment Estimator'!$A$10:$Z$228,L$2,FALSE)=0,"",VLOOKUP($A109,'Pre-Assessment Estimator'!$A$10:$Z$228,L$2,FALSE))</f>
        <v/>
      </c>
      <c r="M109" s="579"/>
      <c r="N109" s="580" t="str">
        <f>IF(VLOOKUP($A109,'Pre-Assessment Estimator'!$A$10:$Z$228,N$2,FALSE)=0,"",VLOOKUP($A109,'Pre-Assessment Estimator'!$A$10:$Z$228,N$2,FALSE))</f>
        <v/>
      </c>
      <c r="O109" s="575" t="str">
        <f>VLOOKUP($A109,'Pre-Assessment Estimator'!$A$10:$Z$228,O$2,FALSE)</f>
        <v>0 c. 0 %</v>
      </c>
      <c r="P109" s="574" t="str">
        <f>VLOOKUP($A109,'Pre-Assessment Estimator'!$A$10:$Z$228,P$2,FALSE)</f>
        <v>N/A</v>
      </c>
      <c r="Q109" s="577" t="str">
        <f>IF(VLOOKUP($A109,'Pre-Assessment Estimator'!$A$10:$Z$228,Q$2,FALSE)=0,"",VLOOKUP($A109,'Pre-Assessment Estimator'!$A$10:$Z$228,Q$2,FALSE))</f>
        <v/>
      </c>
      <c r="R109" s="577" t="str">
        <f>IF(VLOOKUP($A109,'Pre-Assessment Estimator'!$A$10:$Z$228,R$2,FALSE)=0,"",VLOOKUP($A109,'Pre-Assessment Estimator'!$A$10:$Z$228,R$2,FALSE))</f>
        <v/>
      </c>
      <c r="S109" s="578" t="str">
        <f>IF(VLOOKUP($A109,'Pre-Assessment Estimator'!$A$10:$Z$228,S$2,FALSE)=0,"",VLOOKUP($A109,'Pre-Assessment Estimator'!$A$10:$Z$228,S$2,FALSE))</f>
        <v/>
      </c>
      <c r="T109" s="581"/>
      <c r="U109" s="580" t="str">
        <f>IF(VLOOKUP($A109,'Pre-Assessment Estimator'!$A$10:$Z$228,U$2,FALSE)=0,"",VLOOKUP($A109,'Pre-Assessment Estimator'!$A$10:$Z$228,U$2,FALSE))</f>
        <v/>
      </c>
      <c r="V109" s="575" t="str">
        <f>VLOOKUP($A109,'Pre-Assessment Estimator'!$A$10:$Z$228,V$2,FALSE)</f>
        <v>0 c. 0 %</v>
      </c>
      <c r="W109" s="574" t="str">
        <f>VLOOKUP($A109,'Pre-Assessment Estimator'!$A$10:$Z$228,W$2,FALSE)</f>
        <v>N/A</v>
      </c>
      <c r="X109" s="577" t="str">
        <f>IF(VLOOKUP($A109,'Pre-Assessment Estimator'!$A$10:$Z$228,X$2,FALSE)=0,"",VLOOKUP($A109,'Pre-Assessment Estimator'!$A$10:$Z$228,X$2,FALSE))</f>
        <v/>
      </c>
      <c r="Y109" s="577" t="str">
        <f>IF(VLOOKUP($A109,'Pre-Assessment Estimator'!$A$10:$Z$228,Y$2,FALSE)=0,"",VLOOKUP($A109,'Pre-Assessment Estimator'!$A$10:$Z$228,Y$2,FALSE))</f>
        <v/>
      </c>
      <c r="Z109" s="370" t="str">
        <f>IF(VLOOKUP($A109,'Pre-Assessment Estimator'!$A$10:$Z$228,Z$2,FALSE)=0,"",VLOOKUP($A109,'Pre-Assessment Estimator'!$A$10:$Z$228,Z$2,FALSE))</f>
        <v/>
      </c>
      <c r="AA109" s="696">
        <v>97</v>
      </c>
      <c r="AB109" s="577"/>
      <c r="AF109" s="386">
        <f t="shared" si="2"/>
        <v>1</v>
      </c>
    </row>
    <row r="110" spans="1:32" x14ac:dyDescent="0.25">
      <c r="A110" s="823">
        <v>101</v>
      </c>
      <c r="B110" s="1234" t="s">
        <v>58</v>
      </c>
      <c r="C110" s="1234"/>
      <c r="D110" s="1257" t="str">
        <f>VLOOKUP($A110,'Pre-Assessment Estimator'!$A$10:$Z$228,D$2,FALSE)</f>
        <v>Wat 02</v>
      </c>
      <c r="E110" s="1258" t="str">
        <f>VLOOKUP($A110,'Pre-Assessment Estimator'!$A$10:$Z$228,E$2,FALSE)</f>
        <v>Water meter</v>
      </c>
      <c r="F110" s="574">
        <f>VLOOKUP($A110,'Pre-Assessment Estimator'!$A$10:$Z$228,F$2,FALSE)</f>
        <v>1</v>
      </c>
      <c r="G110" s="580" t="str">
        <f>IF(VLOOKUP($A110,'Pre-Assessment Estimator'!$A$10:$Z$228,G$2,FALSE)=0,"",VLOOKUP($A110,'Pre-Assessment Estimator'!$A$10:$Z$228,G$2,FALSE))</f>
        <v/>
      </c>
      <c r="H110" s="1220">
        <f>VLOOKUP($A110,'Pre-Assessment Estimator'!$A$10:$Z$228,H$2,FALSE)</f>
        <v>0</v>
      </c>
      <c r="I110" s="576" t="str">
        <f>VLOOKUP($A110,'Pre-Assessment Estimator'!$A$10:$Z$228,I$2,FALSE)</f>
        <v>N/A</v>
      </c>
      <c r="J110" s="577" t="str">
        <f>IF(VLOOKUP($A110,'Pre-Assessment Estimator'!$A$10:$Z$228,J$2,FALSE)=0,"",VLOOKUP($A110,'Pre-Assessment Estimator'!$A$10:$Z$228,J$2,FALSE))</f>
        <v/>
      </c>
      <c r="K110" s="577" t="str">
        <f>IF(VLOOKUP($A110,'Pre-Assessment Estimator'!$A$10:$Z$228,K$2,FALSE)=0,"",VLOOKUP($A110,'Pre-Assessment Estimator'!$A$10:$Z$228,K$2,FALSE))</f>
        <v/>
      </c>
      <c r="L110" s="578" t="str">
        <f>IF(VLOOKUP($A110,'Pre-Assessment Estimator'!$A$10:$Z$228,L$2,FALSE)=0,"",VLOOKUP($A110,'Pre-Assessment Estimator'!$A$10:$Z$228,L$2,FALSE))</f>
        <v/>
      </c>
      <c r="M110" s="579"/>
      <c r="N110" s="580" t="str">
        <f>IF(VLOOKUP($A110,'Pre-Assessment Estimator'!$A$10:$Z$228,N$2,FALSE)=0,"",VLOOKUP($A110,'Pre-Assessment Estimator'!$A$10:$Z$228,N$2,FALSE))</f>
        <v/>
      </c>
      <c r="O110" s="575">
        <f>VLOOKUP($A110,'Pre-Assessment Estimator'!$A$10:$Z$228,O$2,FALSE)</f>
        <v>0</v>
      </c>
      <c r="P110" s="574" t="str">
        <f>VLOOKUP($A110,'Pre-Assessment Estimator'!$A$10:$Z$228,P$2,FALSE)</f>
        <v>N/A</v>
      </c>
      <c r="Q110" s="577" t="str">
        <f>IF(VLOOKUP($A110,'Pre-Assessment Estimator'!$A$10:$Z$228,Q$2,FALSE)=0,"",VLOOKUP($A110,'Pre-Assessment Estimator'!$A$10:$Z$228,Q$2,FALSE))</f>
        <v/>
      </c>
      <c r="R110" s="577" t="str">
        <f>IF(VLOOKUP($A110,'Pre-Assessment Estimator'!$A$10:$Z$228,R$2,FALSE)=0,"",VLOOKUP($A110,'Pre-Assessment Estimator'!$A$10:$Z$228,R$2,FALSE))</f>
        <v/>
      </c>
      <c r="S110" s="578" t="str">
        <f>IF(VLOOKUP($A110,'Pre-Assessment Estimator'!$A$10:$Z$228,S$2,FALSE)=0,"",VLOOKUP($A110,'Pre-Assessment Estimator'!$A$10:$Z$228,S$2,FALSE))</f>
        <v/>
      </c>
      <c r="T110" s="581"/>
      <c r="U110" s="580" t="str">
        <f>IF(VLOOKUP($A110,'Pre-Assessment Estimator'!$A$10:$Z$228,U$2,FALSE)=0,"",VLOOKUP($A110,'Pre-Assessment Estimator'!$A$10:$Z$228,U$2,FALSE))</f>
        <v/>
      </c>
      <c r="V110" s="575">
        <f>VLOOKUP($A110,'Pre-Assessment Estimator'!$A$10:$Z$228,V$2,FALSE)</f>
        <v>0</v>
      </c>
      <c r="W110" s="574" t="str">
        <f>VLOOKUP($A110,'Pre-Assessment Estimator'!$A$10:$Z$228,W$2,FALSE)</f>
        <v>N/A</v>
      </c>
      <c r="X110" s="577" t="str">
        <f>IF(VLOOKUP($A110,'Pre-Assessment Estimator'!$A$10:$Z$228,X$2,FALSE)=0,"",VLOOKUP($A110,'Pre-Assessment Estimator'!$A$10:$Z$228,X$2,FALSE))</f>
        <v/>
      </c>
      <c r="Y110" s="577" t="str">
        <f>IF(VLOOKUP($A110,'Pre-Assessment Estimator'!$A$10:$Z$228,Y$2,FALSE)=0,"",VLOOKUP($A110,'Pre-Assessment Estimator'!$A$10:$Z$228,Y$2,FALSE))</f>
        <v/>
      </c>
      <c r="Z110" s="370" t="str">
        <f>IF(VLOOKUP($A110,'Pre-Assessment Estimator'!$A$10:$Z$228,Z$2,FALSE)=0,"",VLOOKUP($A110,'Pre-Assessment Estimator'!$A$10:$Z$228,Z$2,FALSE))</f>
        <v/>
      </c>
      <c r="AA110" s="696">
        <v>98</v>
      </c>
      <c r="AB110" s="577"/>
      <c r="AF110" s="386">
        <f t="shared" si="2"/>
        <v>1</v>
      </c>
    </row>
    <row r="111" spans="1:32" x14ac:dyDescent="0.25">
      <c r="A111" s="823">
        <v>102</v>
      </c>
      <c r="B111" s="1234" t="s">
        <v>58</v>
      </c>
      <c r="C111" s="1234"/>
      <c r="D111" s="1256" t="str">
        <f>VLOOKUP($A111,'Pre-Assessment Estimator'!$A$10:$Z$228,D$2,FALSE)</f>
        <v>Wat 03</v>
      </c>
      <c r="E111" s="1256" t="str">
        <f>VLOOKUP($A111,'Pre-Assessment Estimator'!$A$10:$Z$228,E$2,FALSE)</f>
        <v>Wat 03 Water leak detection and prevention</v>
      </c>
      <c r="F111" s="574">
        <f>VLOOKUP($A111,'Pre-Assessment Estimator'!$A$10:$Z$228,F$2,FALSE)</f>
        <v>2</v>
      </c>
      <c r="G111" s="580" t="str">
        <f>IF(VLOOKUP($A111,'Pre-Assessment Estimator'!$A$10:$Z$228,G$2,FALSE)=0,"",VLOOKUP($A111,'Pre-Assessment Estimator'!$A$10:$Z$228,G$2,FALSE))</f>
        <v/>
      </c>
      <c r="H111" s="1220" t="str">
        <f>VLOOKUP($A111,'Pre-Assessment Estimator'!$A$10:$Z$228,H$2,FALSE)</f>
        <v>0 c. 0 %</v>
      </c>
      <c r="I111" s="576" t="str">
        <f>VLOOKUP($A111,'Pre-Assessment Estimator'!$A$10:$Z$228,I$2,FALSE)</f>
        <v>N/A</v>
      </c>
      <c r="J111" s="577" t="str">
        <f>IF(VLOOKUP($A111,'Pre-Assessment Estimator'!$A$10:$Z$228,J$2,FALSE)=0,"",VLOOKUP($A111,'Pre-Assessment Estimator'!$A$10:$Z$228,J$2,FALSE))</f>
        <v/>
      </c>
      <c r="K111" s="577" t="str">
        <f>IF(VLOOKUP($A111,'Pre-Assessment Estimator'!$A$10:$Z$228,K$2,FALSE)=0,"",VLOOKUP($A111,'Pre-Assessment Estimator'!$A$10:$Z$228,K$2,FALSE))</f>
        <v/>
      </c>
      <c r="L111" s="578" t="str">
        <f>IF(VLOOKUP($A111,'Pre-Assessment Estimator'!$A$10:$Z$228,L$2,FALSE)=0,"",VLOOKUP($A111,'Pre-Assessment Estimator'!$A$10:$Z$228,L$2,FALSE))</f>
        <v/>
      </c>
      <c r="M111" s="579"/>
      <c r="N111" s="580" t="str">
        <f>IF(VLOOKUP($A111,'Pre-Assessment Estimator'!$A$10:$Z$228,N$2,FALSE)=0,"",VLOOKUP($A111,'Pre-Assessment Estimator'!$A$10:$Z$228,N$2,FALSE))</f>
        <v/>
      </c>
      <c r="O111" s="575" t="str">
        <f>VLOOKUP($A111,'Pre-Assessment Estimator'!$A$10:$Z$228,O$2,FALSE)</f>
        <v>0 c. 0 %</v>
      </c>
      <c r="P111" s="574" t="str">
        <f>VLOOKUP($A111,'Pre-Assessment Estimator'!$A$10:$Z$228,P$2,FALSE)</f>
        <v>N/A</v>
      </c>
      <c r="Q111" s="577" t="str">
        <f>IF(VLOOKUP($A111,'Pre-Assessment Estimator'!$A$10:$Z$228,Q$2,FALSE)=0,"",VLOOKUP($A111,'Pre-Assessment Estimator'!$A$10:$Z$228,Q$2,FALSE))</f>
        <v/>
      </c>
      <c r="R111" s="577" t="str">
        <f>IF(VLOOKUP($A111,'Pre-Assessment Estimator'!$A$10:$Z$228,R$2,FALSE)=0,"",VLOOKUP($A111,'Pre-Assessment Estimator'!$A$10:$Z$228,R$2,FALSE))</f>
        <v/>
      </c>
      <c r="S111" s="578" t="str">
        <f>IF(VLOOKUP($A111,'Pre-Assessment Estimator'!$A$10:$Z$228,S$2,FALSE)=0,"",VLOOKUP($A111,'Pre-Assessment Estimator'!$A$10:$Z$228,S$2,FALSE))</f>
        <v/>
      </c>
      <c r="T111" s="581"/>
      <c r="U111" s="580" t="str">
        <f>IF(VLOOKUP($A111,'Pre-Assessment Estimator'!$A$10:$Z$228,U$2,FALSE)=0,"",VLOOKUP($A111,'Pre-Assessment Estimator'!$A$10:$Z$228,U$2,FALSE))</f>
        <v/>
      </c>
      <c r="V111" s="575" t="str">
        <f>VLOOKUP($A111,'Pre-Assessment Estimator'!$A$10:$Z$228,V$2,FALSE)</f>
        <v>0 c. 0 %</v>
      </c>
      <c r="W111" s="574" t="str">
        <f>VLOOKUP($A111,'Pre-Assessment Estimator'!$A$10:$Z$228,W$2,FALSE)</f>
        <v>N/A</v>
      </c>
      <c r="X111" s="577" t="str">
        <f>IF(VLOOKUP($A111,'Pre-Assessment Estimator'!$A$10:$Z$228,X$2,FALSE)=0,"",VLOOKUP($A111,'Pre-Assessment Estimator'!$A$10:$Z$228,X$2,FALSE))</f>
        <v/>
      </c>
      <c r="Y111" s="577" t="str">
        <f>IF(VLOOKUP($A111,'Pre-Assessment Estimator'!$A$10:$Z$228,Y$2,FALSE)=0,"",VLOOKUP($A111,'Pre-Assessment Estimator'!$A$10:$Z$228,Y$2,FALSE))</f>
        <v/>
      </c>
      <c r="Z111" s="370" t="str">
        <f>IF(VLOOKUP($A111,'Pre-Assessment Estimator'!$A$10:$Z$228,Z$2,FALSE)=0,"",VLOOKUP($A111,'Pre-Assessment Estimator'!$A$10:$Z$228,Z$2,FALSE))</f>
        <v/>
      </c>
      <c r="AA111" s="696">
        <v>99</v>
      </c>
      <c r="AB111" s="577"/>
      <c r="AF111" s="386">
        <f t="shared" si="2"/>
        <v>1</v>
      </c>
    </row>
    <row r="112" spans="1:32" x14ac:dyDescent="0.25">
      <c r="A112" s="823">
        <v>103</v>
      </c>
      <c r="B112" s="1234" t="s">
        <v>58</v>
      </c>
      <c r="C112" s="1234"/>
      <c r="D112" s="1257" t="str">
        <f>VLOOKUP($A112,'Pre-Assessment Estimator'!$A$10:$Z$228,D$2,FALSE)</f>
        <v>Wat 03</v>
      </c>
      <c r="E112" s="1258" t="str">
        <f>VLOOKUP($A112,'Pre-Assessment Estimator'!$A$10:$Z$228,E$2,FALSE)</f>
        <v>Leak detection system</v>
      </c>
      <c r="F112" s="574">
        <f>VLOOKUP($A112,'Pre-Assessment Estimator'!$A$10:$Z$228,F$2,FALSE)</f>
        <v>1</v>
      </c>
      <c r="G112" s="580" t="str">
        <f>IF(VLOOKUP($A112,'Pre-Assessment Estimator'!$A$10:$Z$228,G$2,FALSE)=0,"",VLOOKUP($A112,'Pre-Assessment Estimator'!$A$10:$Z$228,G$2,FALSE))</f>
        <v/>
      </c>
      <c r="H112" s="1220">
        <f>VLOOKUP($A112,'Pre-Assessment Estimator'!$A$10:$Z$228,H$2,FALSE)</f>
        <v>0</v>
      </c>
      <c r="I112" s="576" t="str">
        <f>VLOOKUP($A112,'Pre-Assessment Estimator'!$A$10:$Z$228,I$2,FALSE)</f>
        <v>N/A</v>
      </c>
      <c r="J112" s="577" t="str">
        <f>IF(VLOOKUP($A112,'Pre-Assessment Estimator'!$A$10:$Z$228,J$2,FALSE)=0,"",VLOOKUP($A112,'Pre-Assessment Estimator'!$A$10:$Z$228,J$2,FALSE))</f>
        <v/>
      </c>
      <c r="K112" s="577" t="str">
        <f>IF(VLOOKUP($A112,'Pre-Assessment Estimator'!$A$10:$Z$228,K$2,FALSE)=0,"",VLOOKUP($A112,'Pre-Assessment Estimator'!$A$10:$Z$228,K$2,FALSE))</f>
        <v/>
      </c>
      <c r="L112" s="578" t="str">
        <f>IF(VLOOKUP($A112,'Pre-Assessment Estimator'!$A$10:$Z$228,L$2,FALSE)=0,"",VLOOKUP($A112,'Pre-Assessment Estimator'!$A$10:$Z$228,L$2,FALSE))</f>
        <v/>
      </c>
      <c r="M112" s="579"/>
      <c r="N112" s="580" t="str">
        <f>IF(VLOOKUP($A112,'Pre-Assessment Estimator'!$A$10:$Z$228,N$2,FALSE)=0,"",VLOOKUP($A112,'Pre-Assessment Estimator'!$A$10:$Z$228,N$2,FALSE))</f>
        <v/>
      </c>
      <c r="O112" s="575">
        <f>VLOOKUP($A112,'Pre-Assessment Estimator'!$A$10:$Z$228,O$2,FALSE)</f>
        <v>0</v>
      </c>
      <c r="P112" s="574" t="str">
        <f>VLOOKUP($A112,'Pre-Assessment Estimator'!$A$10:$Z$228,P$2,FALSE)</f>
        <v>N/A</v>
      </c>
      <c r="Q112" s="577" t="str">
        <f>IF(VLOOKUP($A112,'Pre-Assessment Estimator'!$A$10:$Z$228,Q$2,FALSE)=0,"",VLOOKUP($A112,'Pre-Assessment Estimator'!$A$10:$Z$228,Q$2,FALSE))</f>
        <v/>
      </c>
      <c r="R112" s="577" t="str">
        <f>IF(VLOOKUP($A112,'Pre-Assessment Estimator'!$A$10:$Z$228,R$2,FALSE)=0,"",VLOOKUP($A112,'Pre-Assessment Estimator'!$A$10:$Z$228,R$2,FALSE))</f>
        <v/>
      </c>
      <c r="S112" s="578" t="str">
        <f>IF(VLOOKUP($A112,'Pre-Assessment Estimator'!$A$10:$Z$228,S$2,FALSE)=0,"",VLOOKUP($A112,'Pre-Assessment Estimator'!$A$10:$Z$228,S$2,FALSE))</f>
        <v/>
      </c>
      <c r="T112" s="581"/>
      <c r="U112" s="580" t="str">
        <f>IF(VLOOKUP($A112,'Pre-Assessment Estimator'!$A$10:$Z$228,U$2,FALSE)=0,"",VLOOKUP($A112,'Pre-Assessment Estimator'!$A$10:$Z$228,U$2,FALSE))</f>
        <v/>
      </c>
      <c r="V112" s="575">
        <f>VLOOKUP($A112,'Pre-Assessment Estimator'!$A$10:$Z$228,V$2,FALSE)</f>
        <v>0</v>
      </c>
      <c r="W112" s="574" t="str">
        <f>VLOOKUP($A112,'Pre-Assessment Estimator'!$A$10:$Z$228,W$2,FALSE)</f>
        <v>N/A</v>
      </c>
      <c r="X112" s="577" t="str">
        <f>IF(VLOOKUP($A112,'Pre-Assessment Estimator'!$A$10:$Z$228,X$2,FALSE)=0,"",VLOOKUP($A112,'Pre-Assessment Estimator'!$A$10:$Z$228,X$2,FALSE))</f>
        <v/>
      </c>
      <c r="Y112" s="577" t="str">
        <f>IF(VLOOKUP($A112,'Pre-Assessment Estimator'!$A$10:$Z$228,Y$2,FALSE)=0,"",VLOOKUP($A112,'Pre-Assessment Estimator'!$A$10:$Z$228,Y$2,FALSE))</f>
        <v/>
      </c>
      <c r="Z112" s="370" t="str">
        <f>IF(VLOOKUP($A112,'Pre-Assessment Estimator'!$A$10:$Z$228,Z$2,FALSE)=0,"",VLOOKUP($A112,'Pre-Assessment Estimator'!$A$10:$Z$228,Z$2,FALSE))</f>
        <v/>
      </c>
      <c r="AA112" s="696">
        <v>100</v>
      </c>
      <c r="AB112" s="577"/>
      <c r="AF112" s="386">
        <f t="shared" si="2"/>
        <v>1</v>
      </c>
    </row>
    <row r="113" spans="1:32" x14ac:dyDescent="0.25">
      <c r="A113" s="823">
        <v>104</v>
      </c>
      <c r="B113" s="1234" t="s">
        <v>58</v>
      </c>
      <c r="C113" s="1234"/>
      <c r="D113" s="1257" t="str">
        <f>VLOOKUP($A113,'Pre-Assessment Estimator'!$A$10:$Z$228,D$2,FALSE)</f>
        <v>Wat 03</v>
      </c>
      <c r="E113" s="1258" t="str">
        <f>VLOOKUP($A113,'Pre-Assessment Estimator'!$A$10:$Z$228,E$2,FALSE)</f>
        <v>Flow control devices</v>
      </c>
      <c r="F113" s="574">
        <f>VLOOKUP($A113,'Pre-Assessment Estimator'!$A$10:$Z$228,F$2,FALSE)</f>
        <v>1</v>
      </c>
      <c r="G113" s="580" t="str">
        <f>IF(VLOOKUP($A113,'Pre-Assessment Estimator'!$A$10:$Z$228,G$2,FALSE)=0,"",VLOOKUP($A113,'Pre-Assessment Estimator'!$A$10:$Z$228,G$2,FALSE))</f>
        <v/>
      </c>
      <c r="H113" s="1220">
        <f>VLOOKUP($A113,'Pre-Assessment Estimator'!$A$10:$Z$228,H$2,FALSE)</f>
        <v>0</v>
      </c>
      <c r="I113" s="576" t="str">
        <f>VLOOKUP($A113,'Pre-Assessment Estimator'!$A$10:$Z$228,I$2,FALSE)</f>
        <v>N/A</v>
      </c>
      <c r="J113" s="577" t="str">
        <f>IF(VLOOKUP($A113,'Pre-Assessment Estimator'!$A$10:$Z$228,J$2,FALSE)=0,"",VLOOKUP($A113,'Pre-Assessment Estimator'!$A$10:$Z$228,J$2,FALSE))</f>
        <v/>
      </c>
      <c r="K113" s="577" t="str">
        <f>IF(VLOOKUP($A113,'Pre-Assessment Estimator'!$A$10:$Z$228,K$2,FALSE)=0,"",VLOOKUP($A113,'Pre-Assessment Estimator'!$A$10:$Z$228,K$2,FALSE))</f>
        <v/>
      </c>
      <c r="L113" s="578" t="str">
        <f>IF(VLOOKUP($A113,'Pre-Assessment Estimator'!$A$10:$Z$228,L$2,FALSE)=0,"",VLOOKUP($A113,'Pre-Assessment Estimator'!$A$10:$Z$228,L$2,FALSE))</f>
        <v/>
      </c>
      <c r="M113" s="579"/>
      <c r="N113" s="580" t="str">
        <f>IF(VLOOKUP($A113,'Pre-Assessment Estimator'!$A$10:$Z$228,N$2,FALSE)=0,"",VLOOKUP($A113,'Pre-Assessment Estimator'!$A$10:$Z$228,N$2,FALSE))</f>
        <v/>
      </c>
      <c r="O113" s="575">
        <f>VLOOKUP($A113,'Pre-Assessment Estimator'!$A$10:$Z$228,O$2,FALSE)</f>
        <v>0</v>
      </c>
      <c r="P113" s="574" t="str">
        <f>VLOOKUP($A113,'Pre-Assessment Estimator'!$A$10:$Z$228,P$2,FALSE)</f>
        <v>N/A</v>
      </c>
      <c r="Q113" s="577" t="str">
        <f>IF(VLOOKUP($A113,'Pre-Assessment Estimator'!$A$10:$Z$228,Q$2,FALSE)=0,"",VLOOKUP($A113,'Pre-Assessment Estimator'!$A$10:$Z$228,Q$2,FALSE))</f>
        <v/>
      </c>
      <c r="R113" s="577" t="str">
        <f>IF(VLOOKUP($A113,'Pre-Assessment Estimator'!$A$10:$Z$228,R$2,FALSE)=0,"",VLOOKUP($A113,'Pre-Assessment Estimator'!$A$10:$Z$228,R$2,FALSE))</f>
        <v/>
      </c>
      <c r="S113" s="578" t="str">
        <f>IF(VLOOKUP($A113,'Pre-Assessment Estimator'!$A$10:$Z$228,S$2,FALSE)=0,"",VLOOKUP($A113,'Pre-Assessment Estimator'!$A$10:$Z$228,S$2,FALSE))</f>
        <v/>
      </c>
      <c r="T113" s="581"/>
      <c r="U113" s="580" t="str">
        <f>IF(VLOOKUP($A113,'Pre-Assessment Estimator'!$A$10:$Z$228,U$2,FALSE)=0,"",VLOOKUP($A113,'Pre-Assessment Estimator'!$A$10:$Z$228,U$2,FALSE))</f>
        <v/>
      </c>
      <c r="V113" s="575">
        <f>VLOOKUP($A113,'Pre-Assessment Estimator'!$A$10:$Z$228,V$2,FALSE)</f>
        <v>0</v>
      </c>
      <c r="W113" s="574" t="str">
        <f>VLOOKUP($A113,'Pre-Assessment Estimator'!$A$10:$Z$228,W$2,FALSE)</f>
        <v>N/A</v>
      </c>
      <c r="X113" s="577" t="str">
        <f>IF(VLOOKUP($A113,'Pre-Assessment Estimator'!$A$10:$Z$228,X$2,FALSE)=0,"",VLOOKUP($A113,'Pre-Assessment Estimator'!$A$10:$Z$228,X$2,FALSE))</f>
        <v/>
      </c>
      <c r="Y113" s="577" t="str">
        <f>IF(VLOOKUP($A113,'Pre-Assessment Estimator'!$A$10:$Z$228,Y$2,FALSE)=0,"",VLOOKUP($A113,'Pre-Assessment Estimator'!$A$10:$Z$228,Y$2,FALSE))</f>
        <v/>
      </c>
      <c r="Z113" s="370" t="str">
        <f>IF(VLOOKUP($A113,'Pre-Assessment Estimator'!$A$10:$Z$228,Z$2,FALSE)=0,"",VLOOKUP($A113,'Pre-Assessment Estimator'!$A$10:$Z$228,Z$2,FALSE))</f>
        <v/>
      </c>
      <c r="AA113" s="696">
        <v>101</v>
      </c>
      <c r="AB113" s="577"/>
      <c r="AF113" s="386">
        <f t="shared" si="2"/>
        <v>1</v>
      </c>
    </row>
    <row r="114" spans="1:32" x14ac:dyDescent="0.25">
      <c r="A114" s="823">
        <v>105</v>
      </c>
      <c r="B114" s="1234" t="s">
        <v>58</v>
      </c>
      <c r="C114" s="1234"/>
      <c r="D114" s="1257" t="str">
        <f>VLOOKUP($A114,'Pre-Assessment Estimator'!$A$10:$Z$228,D$2,FALSE)</f>
        <v>Wat 03</v>
      </c>
      <c r="E114" s="1258" t="str">
        <f>VLOOKUP($A114,'Pre-Assessment Estimator'!$A$10:$Z$228,E$2,FALSE)</f>
        <v>Leak isolation</v>
      </c>
      <c r="F114" s="574">
        <f>VLOOKUP($A114,'Pre-Assessment Estimator'!$A$10:$Z$228,F$2,FALSE)</f>
        <v>0</v>
      </c>
      <c r="G114" s="580" t="str">
        <f>IF(VLOOKUP($A114,'Pre-Assessment Estimator'!$A$10:$Z$228,G$2,FALSE)=0,"",VLOOKUP($A114,'Pre-Assessment Estimator'!$A$10:$Z$228,G$2,FALSE))</f>
        <v/>
      </c>
      <c r="H114" s="1220">
        <f>VLOOKUP($A114,'Pre-Assessment Estimator'!$A$10:$Z$228,H$2,FALSE)</f>
        <v>0</v>
      </c>
      <c r="I114" s="576" t="str">
        <f>VLOOKUP($A114,'Pre-Assessment Estimator'!$A$10:$Z$228,I$2,FALSE)</f>
        <v>N/A</v>
      </c>
      <c r="J114" s="577" t="str">
        <f>IF(VLOOKUP($A114,'Pre-Assessment Estimator'!$A$10:$Z$228,J$2,FALSE)=0,"",VLOOKUP($A114,'Pre-Assessment Estimator'!$A$10:$Z$228,J$2,FALSE))</f>
        <v/>
      </c>
      <c r="K114" s="577" t="str">
        <f>IF(VLOOKUP($A114,'Pre-Assessment Estimator'!$A$10:$Z$228,K$2,FALSE)=0,"",VLOOKUP($A114,'Pre-Assessment Estimator'!$A$10:$Z$228,K$2,FALSE))</f>
        <v/>
      </c>
      <c r="L114" s="578" t="str">
        <f>IF(VLOOKUP($A114,'Pre-Assessment Estimator'!$A$10:$Z$228,L$2,FALSE)=0,"",VLOOKUP($A114,'Pre-Assessment Estimator'!$A$10:$Z$228,L$2,FALSE))</f>
        <v/>
      </c>
      <c r="M114" s="579"/>
      <c r="N114" s="580" t="str">
        <f>IF(VLOOKUP($A114,'Pre-Assessment Estimator'!$A$10:$Z$228,N$2,FALSE)=0,"",VLOOKUP($A114,'Pre-Assessment Estimator'!$A$10:$Z$228,N$2,FALSE))</f>
        <v/>
      </c>
      <c r="O114" s="575">
        <f>VLOOKUP($A114,'Pre-Assessment Estimator'!$A$10:$Z$228,O$2,FALSE)</f>
        <v>0</v>
      </c>
      <c r="P114" s="574" t="str">
        <f>VLOOKUP($A114,'Pre-Assessment Estimator'!$A$10:$Z$228,P$2,FALSE)</f>
        <v>N/A</v>
      </c>
      <c r="Q114" s="577" t="str">
        <f>IF(VLOOKUP($A114,'Pre-Assessment Estimator'!$A$10:$Z$228,Q$2,FALSE)=0,"",VLOOKUP($A114,'Pre-Assessment Estimator'!$A$10:$Z$228,Q$2,FALSE))</f>
        <v/>
      </c>
      <c r="R114" s="577" t="str">
        <f>IF(VLOOKUP($A114,'Pre-Assessment Estimator'!$A$10:$Z$228,R$2,FALSE)=0,"",VLOOKUP($A114,'Pre-Assessment Estimator'!$A$10:$Z$228,R$2,FALSE))</f>
        <v/>
      </c>
      <c r="S114" s="578" t="str">
        <f>IF(VLOOKUP($A114,'Pre-Assessment Estimator'!$A$10:$Z$228,S$2,FALSE)=0,"",VLOOKUP($A114,'Pre-Assessment Estimator'!$A$10:$Z$228,S$2,FALSE))</f>
        <v/>
      </c>
      <c r="T114" s="581"/>
      <c r="U114" s="580" t="str">
        <f>IF(VLOOKUP($A114,'Pre-Assessment Estimator'!$A$10:$Z$228,U$2,FALSE)=0,"",VLOOKUP($A114,'Pre-Assessment Estimator'!$A$10:$Z$228,U$2,FALSE))</f>
        <v/>
      </c>
      <c r="V114" s="575">
        <f>VLOOKUP($A114,'Pre-Assessment Estimator'!$A$10:$Z$228,V$2,FALSE)</f>
        <v>0</v>
      </c>
      <c r="W114" s="574" t="str">
        <f>VLOOKUP($A114,'Pre-Assessment Estimator'!$A$10:$Z$228,W$2,FALSE)</f>
        <v>N/A</v>
      </c>
      <c r="X114" s="577" t="str">
        <f>IF(VLOOKUP($A114,'Pre-Assessment Estimator'!$A$10:$Z$228,X$2,FALSE)=0,"",VLOOKUP($A114,'Pre-Assessment Estimator'!$A$10:$Z$228,X$2,FALSE))</f>
        <v/>
      </c>
      <c r="Y114" s="577" t="str">
        <f>IF(VLOOKUP($A114,'Pre-Assessment Estimator'!$A$10:$Z$228,Y$2,FALSE)=0,"",VLOOKUP($A114,'Pre-Assessment Estimator'!$A$10:$Z$228,Y$2,FALSE))</f>
        <v/>
      </c>
      <c r="Z114" s="370" t="str">
        <f>IF(VLOOKUP($A114,'Pre-Assessment Estimator'!$A$10:$Z$228,Z$2,FALSE)=0,"",VLOOKUP($A114,'Pre-Assessment Estimator'!$A$10:$Z$228,Z$2,FALSE))</f>
        <v/>
      </c>
      <c r="AA114" s="696">
        <v>102</v>
      </c>
      <c r="AB114" s="577"/>
      <c r="AF114" s="386">
        <f t="shared" si="2"/>
        <v>2</v>
      </c>
    </row>
    <row r="115" spans="1:32" x14ac:dyDescent="0.25">
      <c r="A115" s="823">
        <v>106</v>
      </c>
      <c r="B115" s="1234" t="s">
        <v>58</v>
      </c>
      <c r="C115" s="1234"/>
      <c r="D115" s="1256" t="str">
        <f>VLOOKUP($A115,'Pre-Assessment Estimator'!$A$10:$Z$228,D$2,FALSE)</f>
        <v>Wat 04</v>
      </c>
      <c r="E115" s="1256" t="str">
        <f>VLOOKUP($A115,'Pre-Assessment Estimator'!$A$10:$Z$228,E$2,FALSE)</f>
        <v>Wat 04 Water efficient equipment</v>
      </c>
      <c r="F115" s="574">
        <f>VLOOKUP($A115,'Pre-Assessment Estimator'!$A$10:$Z$228,F$2,FALSE)</f>
        <v>1</v>
      </c>
      <c r="G115" s="580" t="str">
        <f>IF(VLOOKUP($A115,'Pre-Assessment Estimator'!$A$10:$Z$228,G$2,FALSE)=0,"",VLOOKUP($A115,'Pre-Assessment Estimator'!$A$10:$Z$228,G$2,FALSE))</f>
        <v/>
      </c>
      <c r="H115" s="1220" t="str">
        <f>VLOOKUP($A115,'Pre-Assessment Estimator'!$A$10:$Z$228,H$2,FALSE)</f>
        <v>0 c. 0 %</v>
      </c>
      <c r="I115" s="576" t="str">
        <f>VLOOKUP($A115,'Pre-Assessment Estimator'!$A$10:$Z$228,I$2,FALSE)</f>
        <v>N/A</v>
      </c>
      <c r="J115" s="577" t="str">
        <f>IF(VLOOKUP($A115,'Pre-Assessment Estimator'!$A$10:$Z$228,J$2,FALSE)=0,"",VLOOKUP($A115,'Pre-Assessment Estimator'!$A$10:$Z$228,J$2,FALSE))</f>
        <v/>
      </c>
      <c r="K115" s="577" t="str">
        <f>IF(VLOOKUP($A115,'Pre-Assessment Estimator'!$A$10:$Z$228,K$2,FALSE)=0,"",VLOOKUP($A115,'Pre-Assessment Estimator'!$A$10:$Z$228,K$2,FALSE))</f>
        <v/>
      </c>
      <c r="L115" s="578" t="str">
        <f>IF(VLOOKUP($A115,'Pre-Assessment Estimator'!$A$10:$Z$228,L$2,FALSE)=0,"",VLOOKUP($A115,'Pre-Assessment Estimator'!$A$10:$Z$228,L$2,FALSE))</f>
        <v/>
      </c>
      <c r="M115" s="579"/>
      <c r="N115" s="580" t="str">
        <f>IF(VLOOKUP($A115,'Pre-Assessment Estimator'!$A$10:$Z$228,N$2,FALSE)=0,"",VLOOKUP($A115,'Pre-Assessment Estimator'!$A$10:$Z$228,N$2,FALSE))</f>
        <v/>
      </c>
      <c r="O115" s="575" t="str">
        <f>VLOOKUP($A115,'Pre-Assessment Estimator'!$A$10:$Z$228,O$2,FALSE)</f>
        <v>0 c. 0 %</v>
      </c>
      <c r="P115" s="574" t="str">
        <f>VLOOKUP($A115,'Pre-Assessment Estimator'!$A$10:$Z$228,P$2,FALSE)</f>
        <v>N/A</v>
      </c>
      <c r="Q115" s="577" t="str">
        <f>IF(VLOOKUP($A115,'Pre-Assessment Estimator'!$A$10:$Z$228,Q$2,FALSE)=0,"",VLOOKUP($A115,'Pre-Assessment Estimator'!$A$10:$Z$228,Q$2,FALSE))</f>
        <v/>
      </c>
      <c r="R115" s="577" t="str">
        <f>IF(VLOOKUP($A115,'Pre-Assessment Estimator'!$A$10:$Z$228,R$2,FALSE)=0,"",VLOOKUP($A115,'Pre-Assessment Estimator'!$A$10:$Z$228,R$2,FALSE))</f>
        <v/>
      </c>
      <c r="S115" s="578" t="str">
        <f>IF(VLOOKUP($A115,'Pre-Assessment Estimator'!$A$10:$Z$228,S$2,FALSE)=0,"",VLOOKUP($A115,'Pre-Assessment Estimator'!$A$10:$Z$228,S$2,FALSE))</f>
        <v/>
      </c>
      <c r="T115" s="581"/>
      <c r="U115" s="580" t="str">
        <f>IF(VLOOKUP($A115,'Pre-Assessment Estimator'!$A$10:$Z$228,U$2,FALSE)=0,"",VLOOKUP($A115,'Pre-Assessment Estimator'!$A$10:$Z$228,U$2,FALSE))</f>
        <v/>
      </c>
      <c r="V115" s="575" t="str">
        <f>VLOOKUP($A115,'Pre-Assessment Estimator'!$A$10:$Z$228,V$2,FALSE)</f>
        <v>0 c. 0 %</v>
      </c>
      <c r="W115" s="574" t="str">
        <f>VLOOKUP($A115,'Pre-Assessment Estimator'!$A$10:$Z$228,W$2,FALSE)</f>
        <v>N/A</v>
      </c>
      <c r="X115" s="577" t="str">
        <f>IF(VLOOKUP($A115,'Pre-Assessment Estimator'!$A$10:$Z$228,X$2,FALSE)=0,"",VLOOKUP($A115,'Pre-Assessment Estimator'!$A$10:$Z$228,X$2,FALSE))</f>
        <v/>
      </c>
      <c r="Y115" s="577" t="str">
        <f>IF(VLOOKUP($A115,'Pre-Assessment Estimator'!$A$10:$Z$228,Y$2,FALSE)=0,"",VLOOKUP($A115,'Pre-Assessment Estimator'!$A$10:$Z$228,Y$2,FALSE))</f>
        <v/>
      </c>
      <c r="Z115" s="370" t="str">
        <f>IF(VLOOKUP($A115,'Pre-Assessment Estimator'!$A$10:$Z$228,Z$2,FALSE)=0,"",VLOOKUP($A115,'Pre-Assessment Estimator'!$A$10:$Z$228,Z$2,FALSE))</f>
        <v/>
      </c>
      <c r="AA115" s="696">
        <v>103</v>
      </c>
      <c r="AB115" s="577"/>
      <c r="AF115" s="386">
        <f t="shared" si="2"/>
        <v>1</v>
      </c>
    </row>
    <row r="116" spans="1:32" x14ac:dyDescent="0.25">
      <c r="A116" s="823">
        <v>107</v>
      </c>
      <c r="B116" s="1234" t="s">
        <v>58</v>
      </c>
      <c r="C116" s="1234"/>
      <c r="D116" s="1257" t="str">
        <f>VLOOKUP($A116,'Pre-Assessment Estimator'!$A$10:$Z$228,D$2,FALSE)</f>
        <v>Wat 04</v>
      </c>
      <c r="E116" s="1258" t="str">
        <f>VLOOKUP($A116,'Pre-Assessment Estimator'!$A$10:$Z$228,E$2,FALSE)</f>
        <v>Water efficient equipment</v>
      </c>
      <c r="F116" s="574">
        <f>VLOOKUP($A116,'Pre-Assessment Estimator'!$A$10:$Z$228,F$2,FALSE)</f>
        <v>1</v>
      </c>
      <c r="G116" s="580" t="str">
        <f>IF(VLOOKUP($A116,'Pre-Assessment Estimator'!$A$10:$Z$228,G$2,FALSE)=0,"",VLOOKUP($A116,'Pre-Assessment Estimator'!$A$10:$Z$228,G$2,FALSE))</f>
        <v/>
      </c>
      <c r="H116" s="1220">
        <f>VLOOKUP($A116,'Pre-Assessment Estimator'!$A$10:$Z$228,H$2,FALSE)</f>
        <v>0</v>
      </c>
      <c r="I116" s="576" t="str">
        <f>VLOOKUP($A116,'Pre-Assessment Estimator'!$A$10:$Z$228,I$2,FALSE)</f>
        <v>N/A</v>
      </c>
      <c r="J116" s="577" t="str">
        <f>IF(VLOOKUP($A116,'Pre-Assessment Estimator'!$A$10:$Z$228,J$2,FALSE)=0,"",VLOOKUP($A116,'Pre-Assessment Estimator'!$A$10:$Z$228,J$2,FALSE))</f>
        <v/>
      </c>
      <c r="K116" s="577" t="str">
        <f>IF(VLOOKUP($A116,'Pre-Assessment Estimator'!$A$10:$Z$228,K$2,FALSE)=0,"",VLOOKUP($A116,'Pre-Assessment Estimator'!$A$10:$Z$228,K$2,FALSE))</f>
        <v/>
      </c>
      <c r="L116" s="578" t="str">
        <f>IF(VLOOKUP($A116,'Pre-Assessment Estimator'!$A$10:$Z$228,L$2,FALSE)=0,"",VLOOKUP($A116,'Pre-Assessment Estimator'!$A$10:$Z$228,L$2,FALSE))</f>
        <v/>
      </c>
      <c r="M116" s="579"/>
      <c r="N116" s="580" t="str">
        <f>IF(VLOOKUP($A116,'Pre-Assessment Estimator'!$A$10:$Z$228,N$2,FALSE)=0,"",VLOOKUP($A116,'Pre-Assessment Estimator'!$A$10:$Z$228,N$2,FALSE))</f>
        <v/>
      </c>
      <c r="O116" s="575">
        <f>VLOOKUP($A116,'Pre-Assessment Estimator'!$A$10:$Z$228,O$2,FALSE)</f>
        <v>0</v>
      </c>
      <c r="P116" s="574" t="str">
        <f>VLOOKUP($A116,'Pre-Assessment Estimator'!$A$10:$Z$228,P$2,FALSE)</f>
        <v>N/A</v>
      </c>
      <c r="Q116" s="577" t="str">
        <f>IF(VLOOKUP($A116,'Pre-Assessment Estimator'!$A$10:$Z$228,Q$2,FALSE)=0,"",VLOOKUP($A116,'Pre-Assessment Estimator'!$A$10:$Z$228,Q$2,FALSE))</f>
        <v/>
      </c>
      <c r="R116" s="577" t="str">
        <f>IF(VLOOKUP($A116,'Pre-Assessment Estimator'!$A$10:$Z$228,R$2,FALSE)=0,"",VLOOKUP($A116,'Pre-Assessment Estimator'!$A$10:$Z$228,R$2,FALSE))</f>
        <v/>
      </c>
      <c r="S116" s="578" t="str">
        <f>IF(VLOOKUP($A116,'Pre-Assessment Estimator'!$A$10:$Z$228,S$2,FALSE)=0,"",VLOOKUP($A116,'Pre-Assessment Estimator'!$A$10:$Z$228,S$2,FALSE))</f>
        <v/>
      </c>
      <c r="T116" s="581"/>
      <c r="U116" s="580" t="str">
        <f>IF(VLOOKUP($A116,'Pre-Assessment Estimator'!$A$10:$Z$228,U$2,FALSE)=0,"",VLOOKUP($A116,'Pre-Assessment Estimator'!$A$10:$Z$228,U$2,FALSE))</f>
        <v/>
      </c>
      <c r="V116" s="575">
        <f>VLOOKUP($A116,'Pre-Assessment Estimator'!$A$10:$Z$228,V$2,FALSE)</f>
        <v>0</v>
      </c>
      <c r="W116" s="574" t="str">
        <f>VLOOKUP($A116,'Pre-Assessment Estimator'!$A$10:$Z$228,W$2,FALSE)</f>
        <v>N/A</v>
      </c>
      <c r="X116" s="577" t="str">
        <f>IF(VLOOKUP($A116,'Pre-Assessment Estimator'!$A$10:$Z$228,X$2,FALSE)=0,"",VLOOKUP($A116,'Pre-Assessment Estimator'!$A$10:$Z$228,X$2,FALSE))</f>
        <v/>
      </c>
      <c r="Y116" s="577" t="str">
        <f>IF(VLOOKUP($A116,'Pre-Assessment Estimator'!$A$10:$Z$228,Y$2,FALSE)=0,"",VLOOKUP($A116,'Pre-Assessment Estimator'!$A$10:$Z$228,Y$2,FALSE))</f>
        <v/>
      </c>
      <c r="Z116" s="370" t="str">
        <f>IF(VLOOKUP($A116,'Pre-Assessment Estimator'!$A$10:$Z$228,Z$2,FALSE)=0,"",VLOOKUP($A116,'Pre-Assessment Estimator'!$A$10:$Z$228,Z$2,FALSE))</f>
        <v/>
      </c>
      <c r="AA116" s="696">
        <v>104</v>
      </c>
      <c r="AB116" s="577" t="str">
        <f>IF(VLOOKUP($A116,'Pre-Assessment Estimator'!$A$10:$AB$228,AB$2,FALSE)=0,"",VLOOKUP($A116,'Pre-Assessment Estimator'!$A$10:$AB$228,AB$2,FALSE))</f>
        <v/>
      </c>
      <c r="AF116" s="386">
        <f t="shared" si="2"/>
        <v>1</v>
      </c>
    </row>
    <row r="117" spans="1:32" ht="30" customHeight="1" thickBot="1" x14ac:dyDescent="0.3">
      <c r="A117" s="823">
        <v>108</v>
      </c>
      <c r="B117" s="1234" t="s">
        <v>58</v>
      </c>
      <c r="C117" s="1234"/>
      <c r="D117" s="1259"/>
      <c r="E117" s="1259" t="str">
        <f>VLOOKUP($A117,'Pre-Assessment Estimator'!$A$10:$Z$228,E$2,FALSE)</f>
        <v>Total performance water</v>
      </c>
      <c r="F117" s="582">
        <f>VLOOKUP($A117,'Pre-Assessment Estimator'!$A$10:$Z$228,F$2,FALSE)</f>
        <v>9</v>
      </c>
      <c r="G117" s="584" t="str">
        <f>IF(VLOOKUP($A117,'Pre-Assessment Estimator'!$A$10:$Z$228,G$2,FALSE)=0,"",VLOOKUP($A117,'Pre-Assessment Estimator'!$A$10:$Z$228,G$2,FALSE))</f>
        <v/>
      </c>
      <c r="H117" s="583">
        <f>VLOOKUP($A117,'Pre-Assessment Estimator'!$A$10:$Z$228,H$2,FALSE)</f>
        <v>0</v>
      </c>
      <c r="I117" s="582" t="str">
        <f>VLOOKUP($A117,'Pre-Assessment Estimator'!$A$10:$Z$228,I$2,FALSE)</f>
        <v>Credits achieved: 0</v>
      </c>
      <c r="J117" s="1202" t="str">
        <f>IF(VLOOKUP($A117,'Pre-Assessment Estimator'!$A$10:$Z$228,J$2,FALSE)=0,"",VLOOKUP($A117,'Pre-Assessment Estimator'!$A$10:$Z$228,J$2,FALSE))</f>
        <v/>
      </c>
      <c r="K117" s="1202" t="str">
        <f>IF(VLOOKUP($A117,'Pre-Assessment Estimator'!$A$10:$Z$228,K$2,FALSE)=0,"",VLOOKUP($A117,'Pre-Assessment Estimator'!$A$10:$Z$228,K$2,FALSE))</f>
        <v/>
      </c>
      <c r="L117" s="1221" t="str">
        <f>IF(VLOOKUP($A117,'Pre-Assessment Estimator'!$A$10:$Z$228,L$2,FALSE)=0,"",VLOOKUP($A117,'Pre-Assessment Estimator'!$A$10:$Z$228,L$2,FALSE))</f>
        <v/>
      </c>
      <c r="M117" s="1222"/>
      <c r="N117" s="584" t="str">
        <f>IF(VLOOKUP($A117,'Pre-Assessment Estimator'!$A$10:$Z$228,N$2,FALSE)=0,"",VLOOKUP($A117,'Pre-Assessment Estimator'!$A$10:$Z$228,N$2,FALSE))</f>
        <v/>
      </c>
      <c r="O117" s="583">
        <f>VLOOKUP($A117,'Pre-Assessment Estimator'!$A$10:$Z$228,O$2,FALSE)</f>
        <v>0</v>
      </c>
      <c r="P117" s="582" t="str">
        <f>VLOOKUP($A117,'Pre-Assessment Estimator'!$A$10:$Z$228,P$2,FALSE)</f>
        <v>Credits achieved: 0</v>
      </c>
      <c r="Q117" s="1202" t="str">
        <f>IF(VLOOKUP($A117,'Pre-Assessment Estimator'!$A$10:$Z$228,Q$2,FALSE)=0,"",VLOOKUP($A117,'Pre-Assessment Estimator'!$A$10:$Z$228,Q$2,FALSE))</f>
        <v/>
      </c>
      <c r="R117" s="1202" t="str">
        <f>IF(VLOOKUP($A117,'Pre-Assessment Estimator'!$A$10:$Z$228,R$2,FALSE)=0,"",VLOOKUP($A117,'Pre-Assessment Estimator'!$A$10:$Z$228,R$2,FALSE))</f>
        <v/>
      </c>
      <c r="S117" s="1221" t="str">
        <f>IF(VLOOKUP($A117,'Pre-Assessment Estimator'!$A$10:$Z$228,S$2,FALSE)=0,"",VLOOKUP($A117,'Pre-Assessment Estimator'!$A$10:$Z$228,S$2,FALSE))</f>
        <v/>
      </c>
      <c r="T117" s="1223"/>
      <c r="U117" s="584" t="str">
        <f>IF(VLOOKUP($A117,'Pre-Assessment Estimator'!$A$10:$Z$228,U$2,FALSE)=0,"",VLOOKUP($A117,'Pre-Assessment Estimator'!$A$10:$Z$228,U$2,FALSE))</f>
        <v/>
      </c>
      <c r="V117" s="583">
        <f>VLOOKUP($A117,'Pre-Assessment Estimator'!$A$10:$Z$228,V$2,FALSE)</f>
        <v>0</v>
      </c>
      <c r="W117" s="582" t="str">
        <f>VLOOKUP($A117,'Pre-Assessment Estimator'!$A$10:$Z$228,W$2,FALSE)</f>
        <v>Credits achieved: 0</v>
      </c>
      <c r="X117" s="1202" t="str">
        <f>IF(VLOOKUP($A117,'Pre-Assessment Estimator'!$A$10:$Z$228,X$2,FALSE)=0,"",VLOOKUP($A117,'Pre-Assessment Estimator'!$A$10:$Z$228,X$2,FALSE))</f>
        <v/>
      </c>
      <c r="Y117" s="1202" t="str">
        <f>IF(VLOOKUP($A117,'Pre-Assessment Estimator'!$A$10:$Z$228,Y$2,FALSE)=0,"",VLOOKUP($A117,'Pre-Assessment Estimator'!$A$10:$Z$228,Y$2,FALSE))</f>
        <v/>
      </c>
      <c r="Z117" s="1224" t="str">
        <f>IF(VLOOKUP($A117,'Pre-Assessment Estimator'!$A$10:$Z$228,Z$2,FALSE)=0,"",VLOOKUP($A117,'Pre-Assessment Estimator'!$A$10:$Z$228,Z$2,FALSE))</f>
        <v/>
      </c>
      <c r="AA117" s="696">
        <v>105</v>
      </c>
      <c r="AB117" s="585"/>
      <c r="AC117" s="389"/>
      <c r="AD117" s="389"/>
      <c r="AE117" s="389"/>
      <c r="AF117" s="386">
        <f t="shared" si="2"/>
        <v>1</v>
      </c>
    </row>
    <row r="118" spans="1:32" x14ac:dyDescent="0.25">
      <c r="A118" s="823">
        <v>109</v>
      </c>
      <c r="B118" s="1234" t="s">
        <v>67</v>
      </c>
      <c r="C118" s="1234"/>
      <c r="D118" s="585"/>
      <c r="E118" s="585"/>
      <c r="F118" s="586"/>
      <c r="G118" s="586"/>
      <c r="H118" s="586"/>
      <c r="I118" s="586"/>
      <c r="J118" s="585"/>
      <c r="K118" s="586"/>
      <c r="L118" s="585"/>
      <c r="M118" s="579"/>
      <c r="N118" s="586"/>
      <c r="O118" s="586"/>
      <c r="P118" s="586"/>
      <c r="Q118" s="585"/>
      <c r="R118" s="586"/>
      <c r="S118" s="585"/>
      <c r="T118" s="581"/>
      <c r="U118" s="586"/>
      <c r="V118" s="586"/>
      <c r="W118" s="586"/>
      <c r="X118" s="585"/>
      <c r="Y118" s="586"/>
      <c r="Z118" s="343"/>
      <c r="AA118" s="696">
        <v>106</v>
      </c>
      <c r="AB118" s="697"/>
      <c r="AF118" s="386">
        <f t="shared" si="2"/>
        <v>1</v>
      </c>
    </row>
    <row r="119" spans="1:32" ht="18.75" x14ac:dyDescent="0.25">
      <c r="A119" s="823">
        <v>110</v>
      </c>
      <c r="B119" s="1234" t="s">
        <v>67</v>
      </c>
      <c r="C119" s="1234"/>
      <c r="D119" s="587"/>
      <c r="E119" s="587" t="s">
        <v>67</v>
      </c>
      <c r="F119" s="570"/>
      <c r="G119" s="570"/>
      <c r="H119" s="570"/>
      <c r="I119" s="570"/>
      <c r="J119" s="571"/>
      <c r="K119" s="570"/>
      <c r="L119" s="571"/>
      <c r="M119" s="579"/>
      <c r="N119" s="570"/>
      <c r="O119" s="570"/>
      <c r="P119" s="570"/>
      <c r="Q119" s="571"/>
      <c r="R119" s="570"/>
      <c r="S119" s="571"/>
      <c r="T119" s="581"/>
      <c r="U119" s="570"/>
      <c r="V119" s="570"/>
      <c r="W119" s="570"/>
      <c r="X119" s="571"/>
      <c r="Y119" s="570"/>
      <c r="Z119" s="411"/>
      <c r="AA119" s="696">
        <v>107</v>
      </c>
      <c r="AB119" s="577" t="str">
        <f>IF(VLOOKUP($A119,'Pre-Assessment Estimator'!$A$10:$AB$228,AB$2,FALSE)=0,"",VLOOKUP($A119,'Pre-Assessment Estimator'!$A$10:$AB$228,AB$2,FALSE))</f>
        <v/>
      </c>
      <c r="AF119" s="386">
        <f t="shared" si="2"/>
        <v>1</v>
      </c>
    </row>
    <row r="120" spans="1:32" ht="30" x14ac:dyDescent="0.25">
      <c r="A120" s="823">
        <v>111</v>
      </c>
      <c r="B120" s="1234" t="s">
        <v>67</v>
      </c>
      <c r="C120" s="1234"/>
      <c r="D120" s="1256" t="str">
        <f>VLOOKUP($A120,'Pre-Assessment Estimator'!$A$10:$Z$228,D$2,FALSE)</f>
        <v>Mat 01</v>
      </c>
      <c r="E120" s="1256" t="str">
        <f>VLOOKUP($A120,'Pre-Assessment Estimator'!$A$10:$Z$228,E$2,FALSE)</f>
        <v>Mat 01 Environmental impacts from construction products - Building life cycle assessment (LCA)</v>
      </c>
      <c r="F120" s="574">
        <f>VLOOKUP($A120,'Pre-Assessment Estimator'!$A$10:$Z$228,F$2,FALSE)</f>
        <v>5</v>
      </c>
      <c r="G120" s="580" t="str">
        <f>IF(VLOOKUP($A120,'Pre-Assessment Estimator'!$A$10:$Z$228,G$2,FALSE)=0,"",VLOOKUP($A120,'Pre-Assessment Estimator'!$A$10:$Z$228,G$2,FALSE))</f>
        <v/>
      </c>
      <c r="H120" s="1220" t="str">
        <f>VLOOKUP($A120,'Pre-Assessment Estimator'!$A$10:$Z$228,H$2,FALSE)</f>
        <v>0 c. 0 %</v>
      </c>
      <c r="I120" s="576" t="str">
        <f>VLOOKUP($A120,'Pre-Assessment Estimator'!$A$10:$Z$228,I$2,FALSE)</f>
        <v>N/A</v>
      </c>
      <c r="J120" s="577" t="str">
        <f>IF(VLOOKUP($A120,'Pre-Assessment Estimator'!$A$10:$Z$228,J$2,FALSE)=0,"",VLOOKUP($A120,'Pre-Assessment Estimator'!$A$10:$Z$228,J$2,FALSE))</f>
        <v/>
      </c>
      <c r="K120" s="577" t="str">
        <f>IF(VLOOKUP($A120,'Pre-Assessment Estimator'!$A$10:$Z$228,K$2,FALSE)=0,"",VLOOKUP($A120,'Pre-Assessment Estimator'!$A$10:$Z$228,K$2,FALSE))</f>
        <v/>
      </c>
      <c r="L120" s="578" t="str">
        <f>IF(VLOOKUP($A120,'Pre-Assessment Estimator'!$A$10:$Z$228,L$2,FALSE)=0,"",VLOOKUP($A120,'Pre-Assessment Estimator'!$A$10:$Z$228,L$2,FALSE))</f>
        <v/>
      </c>
      <c r="M120" s="579"/>
      <c r="N120" s="580" t="str">
        <f>IF(VLOOKUP($A120,'Pre-Assessment Estimator'!$A$10:$Z$228,N$2,FALSE)=0,"",VLOOKUP($A120,'Pre-Assessment Estimator'!$A$10:$Z$228,N$2,FALSE))</f>
        <v/>
      </c>
      <c r="O120" s="575" t="str">
        <f>VLOOKUP($A120,'Pre-Assessment Estimator'!$A$10:$Z$228,O$2,FALSE)</f>
        <v>0 c. 0 %</v>
      </c>
      <c r="P120" s="574" t="str">
        <f>VLOOKUP($A120,'Pre-Assessment Estimator'!$A$10:$Z$228,P$2,FALSE)</f>
        <v>N/A</v>
      </c>
      <c r="Q120" s="577" t="str">
        <f>IF(VLOOKUP($A120,'Pre-Assessment Estimator'!$A$10:$Z$228,Q$2,FALSE)=0,"",VLOOKUP($A120,'Pre-Assessment Estimator'!$A$10:$Z$228,Q$2,FALSE))</f>
        <v/>
      </c>
      <c r="R120" s="577" t="str">
        <f>IF(VLOOKUP($A120,'Pre-Assessment Estimator'!$A$10:$Z$228,R$2,FALSE)=0,"",VLOOKUP($A120,'Pre-Assessment Estimator'!$A$10:$Z$228,R$2,FALSE))</f>
        <v/>
      </c>
      <c r="S120" s="578" t="str">
        <f>IF(VLOOKUP($A120,'Pre-Assessment Estimator'!$A$10:$Z$228,S$2,FALSE)=0,"",VLOOKUP($A120,'Pre-Assessment Estimator'!$A$10:$Z$228,S$2,FALSE))</f>
        <v/>
      </c>
      <c r="T120" s="581"/>
      <c r="U120" s="580" t="str">
        <f>IF(VLOOKUP($A120,'Pre-Assessment Estimator'!$A$10:$Z$228,U$2,FALSE)=0,"",VLOOKUP($A120,'Pre-Assessment Estimator'!$A$10:$Z$228,U$2,FALSE))</f>
        <v/>
      </c>
      <c r="V120" s="575" t="str">
        <f>VLOOKUP($A120,'Pre-Assessment Estimator'!$A$10:$Z$228,V$2,FALSE)</f>
        <v>0 c. 0 %</v>
      </c>
      <c r="W120" s="574" t="str">
        <f>VLOOKUP($A120,'Pre-Assessment Estimator'!$A$10:$Z$228,W$2,FALSE)</f>
        <v>N/A</v>
      </c>
      <c r="X120" s="577" t="str">
        <f>IF(VLOOKUP($A120,'Pre-Assessment Estimator'!$A$10:$Z$228,X$2,FALSE)=0,"",VLOOKUP($A120,'Pre-Assessment Estimator'!$A$10:$Z$228,X$2,FALSE))</f>
        <v/>
      </c>
      <c r="Y120" s="577" t="str">
        <f>IF(VLOOKUP($A120,'Pre-Assessment Estimator'!$A$10:$Z$228,Y$2,FALSE)=0,"",VLOOKUP($A120,'Pre-Assessment Estimator'!$A$10:$Z$228,Y$2,FALSE))</f>
        <v/>
      </c>
      <c r="Z120" s="370" t="str">
        <f>IF(VLOOKUP($A120,'Pre-Assessment Estimator'!$A$10:$Z$228,Z$2,FALSE)=0,"",VLOOKUP($A120,'Pre-Assessment Estimator'!$A$10:$Z$228,Z$2,FALSE))</f>
        <v/>
      </c>
      <c r="AA120" s="696">
        <v>108</v>
      </c>
      <c r="AB120" s="577"/>
      <c r="AF120" s="386">
        <f t="shared" si="2"/>
        <v>1</v>
      </c>
    </row>
    <row r="121" spans="1:32" x14ac:dyDescent="0.25">
      <c r="A121" s="823">
        <v>112</v>
      </c>
      <c r="B121" s="1234" t="s">
        <v>67</v>
      </c>
      <c r="C121" s="1234"/>
      <c r="D121" s="1257" t="str">
        <f>VLOOKUP($A121,'Pre-Assessment Estimator'!$A$10:$Z$228,D$2,FALSE)</f>
        <v>Mat 01</v>
      </c>
      <c r="E121" s="1258" t="str">
        <f>VLOOKUP($A121,'Pre-Assessment Estimator'!$A$10:$Z$228,E$2,FALSE)</f>
        <v>Pre-requisite: early stage greenhouse gas calculation</v>
      </c>
      <c r="F121" s="574" t="str">
        <f>VLOOKUP($A121,'Pre-Assessment Estimator'!$A$10:$Z$228,F$2,FALSE)</f>
        <v>Yes/No</v>
      </c>
      <c r="G121" s="580" t="str">
        <f>IF(VLOOKUP($A121,'Pre-Assessment Estimator'!$A$10:$Z$228,G$2,FALSE)=0,"",VLOOKUP($A121,'Pre-Assessment Estimator'!$A$10:$Z$228,G$2,FALSE))</f>
        <v/>
      </c>
      <c r="H121" s="1220" t="str">
        <f>VLOOKUP($A121,'Pre-Assessment Estimator'!$A$10:$Z$228,H$2,FALSE)</f>
        <v>-</v>
      </c>
      <c r="I121" s="576" t="str">
        <f>VLOOKUP($A121,'Pre-Assessment Estimator'!$A$10:$Z$228,I$2,FALSE)</f>
        <v>Unclassified</v>
      </c>
      <c r="J121" s="577" t="str">
        <f>IF(VLOOKUP($A121,'Pre-Assessment Estimator'!$A$10:$Z$228,J$2,FALSE)=0,"",VLOOKUP($A121,'Pre-Assessment Estimator'!$A$10:$Z$228,J$2,FALSE))</f>
        <v/>
      </c>
      <c r="K121" s="577" t="str">
        <f>IF(VLOOKUP($A121,'Pre-Assessment Estimator'!$A$10:$Z$228,K$2,FALSE)=0,"",VLOOKUP($A121,'Pre-Assessment Estimator'!$A$10:$Z$228,K$2,FALSE))</f>
        <v/>
      </c>
      <c r="L121" s="578" t="str">
        <f>IF(VLOOKUP($A121,'Pre-Assessment Estimator'!$A$10:$Z$228,L$2,FALSE)=0,"",VLOOKUP($A121,'Pre-Assessment Estimator'!$A$10:$Z$228,L$2,FALSE))</f>
        <v/>
      </c>
      <c r="M121" s="579"/>
      <c r="N121" s="580" t="str">
        <f>IF(VLOOKUP($A121,'Pre-Assessment Estimator'!$A$10:$Z$228,N$2,FALSE)=0,"",VLOOKUP($A121,'Pre-Assessment Estimator'!$A$10:$Z$228,N$2,FALSE))</f>
        <v/>
      </c>
      <c r="O121" s="575" t="str">
        <f>VLOOKUP($A121,'Pre-Assessment Estimator'!$A$10:$Z$228,O$2,FALSE)</f>
        <v>-</v>
      </c>
      <c r="P121" s="574" t="str">
        <f>VLOOKUP($A121,'Pre-Assessment Estimator'!$A$10:$Z$228,P$2,FALSE)</f>
        <v>Unclassified</v>
      </c>
      <c r="Q121" s="577" t="str">
        <f>IF(VLOOKUP($A121,'Pre-Assessment Estimator'!$A$10:$Z$228,Q$2,FALSE)=0,"",VLOOKUP($A121,'Pre-Assessment Estimator'!$A$10:$Z$228,Q$2,FALSE))</f>
        <v/>
      </c>
      <c r="R121" s="577" t="str">
        <f>IF(VLOOKUP($A121,'Pre-Assessment Estimator'!$A$10:$Z$228,R$2,FALSE)=0,"",VLOOKUP($A121,'Pre-Assessment Estimator'!$A$10:$Z$228,R$2,FALSE))</f>
        <v/>
      </c>
      <c r="S121" s="578" t="str">
        <f>IF(VLOOKUP($A121,'Pre-Assessment Estimator'!$A$10:$Z$228,S$2,FALSE)=0,"",VLOOKUP($A121,'Pre-Assessment Estimator'!$A$10:$Z$228,S$2,FALSE))</f>
        <v/>
      </c>
      <c r="T121" s="581"/>
      <c r="U121" s="580" t="str">
        <f>IF(VLOOKUP($A121,'Pre-Assessment Estimator'!$A$10:$Z$228,U$2,FALSE)=0,"",VLOOKUP($A121,'Pre-Assessment Estimator'!$A$10:$Z$228,U$2,FALSE))</f>
        <v/>
      </c>
      <c r="V121" s="575" t="str">
        <f>VLOOKUP($A121,'Pre-Assessment Estimator'!$A$10:$Z$228,V$2,FALSE)</f>
        <v>-</v>
      </c>
      <c r="W121" s="574" t="str">
        <f>VLOOKUP($A121,'Pre-Assessment Estimator'!$A$10:$Z$228,W$2,FALSE)</f>
        <v>Unclassified</v>
      </c>
      <c r="X121" s="577" t="str">
        <f>IF(VLOOKUP($A121,'Pre-Assessment Estimator'!$A$10:$Z$228,X$2,FALSE)=0,"",VLOOKUP($A121,'Pre-Assessment Estimator'!$A$10:$Z$228,X$2,FALSE))</f>
        <v/>
      </c>
      <c r="Y121" s="577" t="str">
        <f>IF(VLOOKUP($A121,'Pre-Assessment Estimator'!$A$10:$Z$228,Y$2,FALSE)=0,"",VLOOKUP($A121,'Pre-Assessment Estimator'!$A$10:$Z$228,Y$2,FALSE))</f>
        <v/>
      </c>
      <c r="Z121" s="370" t="str">
        <f>IF(VLOOKUP($A121,'Pre-Assessment Estimator'!$A$10:$Z$228,Z$2,FALSE)=0,"",VLOOKUP($A121,'Pre-Assessment Estimator'!$A$10:$Z$228,Z$2,FALSE))</f>
        <v/>
      </c>
      <c r="AA121" s="696">
        <v>109</v>
      </c>
      <c r="AB121" s="577"/>
      <c r="AF121" s="386">
        <f t="shared" si="2"/>
        <v>1</v>
      </c>
    </row>
    <row r="122" spans="1:32" x14ac:dyDescent="0.25">
      <c r="A122" s="823">
        <v>113</v>
      </c>
      <c r="B122" s="1234" t="s">
        <v>67</v>
      </c>
      <c r="C122" s="1234"/>
      <c r="D122" s="1257" t="str">
        <f>VLOOKUP($A122,'Pre-Assessment Estimator'!$A$10:$Z$228,D$2,FALSE)</f>
        <v>Mat 01</v>
      </c>
      <c r="E122" s="1258" t="str">
        <f>VLOOKUP($A122,'Pre-Assessment Estimator'!$A$10:$Z$228,E$2,FALSE)</f>
        <v>Reduction of greenhouse gas emissions</v>
      </c>
      <c r="F122" s="574">
        <f>VLOOKUP($A122,'Pre-Assessment Estimator'!$A$10:$Z$228,F$2,FALSE)</f>
        <v>3</v>
      </c>
      <c r="G122" s="580" t="str">
        <f>IF(VLOOKUP($A122,'Pre-Assessment Estimator'!$A$10:$Z$228,G$2,FALSE)=0,"",VLOOKUP($A122,'Pre-Assessment Estimator'!$A$10:$Z$228,G$2,FALSE))</f>
        <v/>
      </c>
      <c r="H122" s="1220">
        <f>VLOOKUP($A122,'Pre-Assessment Estimator'!$A$10:$Z$228,H$2,FALSE)</f>
        <v>0</v>
      </c>
      <c r="I122" s="576" t="str">
        <f>VLOOKUP($A122,'Pre-Assessment Estimator'!$A$10:$Z$228,I$2,FALSE)</f>
        <v>Good</v>
      </c>
      <c r="J122" s="577" t="str">
        <f>IF(VLOOKUP($A122,'Pre-Assessment Estimator'!$A$10:$Z$228,J$2,FALSE)=0,"",VLOOKUP($A122,'Pre-Assessment Estimator'!$A$10:$Z$228,J$2,FALSE))</f>
        <v/>
      </c>
      <c r="K122" s="577" t="str">
        <f>IF(VLOOKUP($A122,'Pre-Assessment Estimator'!$A$10:$Z$228,K$2,FALSE)=0,"",VLOOKUP($A122,'Pre-Assessment Estimator'!$A$10:$Z$228,K$2,FALSE))</f>
        <v/>
      </c>
      <c r="L122" s="578" t="str">
        <f>IF(VLOOKUP($A122,'Pre-Assessment Estimator'!$A$10:$Z$228,L$2,FALSE)=0,"",VLOOKUP($A122,'Pre-Assessment Estimator'!$A$10:$Z$228,L$2,FALSE))</f>
        <v/>
      </c>
      <c r="M122" s="579"/>
      <c r="N122" s="580" t="str">
        <f>IF(VLOOKUP($A122,'Pre-Assessment Estimator'!$A$10:$Z$228,N$2,FALSE)=0,"",VLOOKUP($A122,'Pre-Assessment Estimator'!$A$10:$Z$228,N$2,FALSE))</f>
        <v/>
      </c>
      <c r="O122" s="575">
        <f>VLOOKUP($A122,'Pre-Assessment Estimator'!$A$10:$Z$228,O$2,FALSE)</f>
        <v>0</v>
      </c>
      <c r="P122" s="574" t="str">
        <f>VLOOKUP($A122,'Pre-Assessment Estimator'!$A$10:$Z$228,P$2,FALSE)</f>
        <v>Good</v>
      </c>
      <c r="Q122" s="577" t="str">
        <f>IF(VLOOKUP($A122,'Pre-Assessment Estimator'!$A$10:$Z$228,Q$2,FALSE)=0,"",VLOOKUP($A122,'Pre-Assessment Estimator'!$A$10:$Z$228,Q$2,FALSE))</f>
        <v/>
      </c>
      <c r="R122" s="577" t="str">
        <f>IF(VLOOKUP($A122,'Pre-Assessment Estimator'!$A$10:$Z$228,R$2,FALSE)=0,"",VLOOKUP($A122,'Pre-Assessment Estimator'!$A$10:$Z$228,R$2,FALSE))</f>
        <v/>
      </c>
      <c r="S122" s="578" t="str">
        <f>IF(VLOOKUP($A122,'Pre-Assessment Estimator'!$A$10:$Z$228,S$2,FALSE)=0,"",VLOOKUP($A122,'Pre-Assessment Estimator'!$A$10:$Z$228,S$2,FALSE))</f>
        <v/>
      </c>
      <c r="T122" s="581"/>
      <c r="U122" s="580" t="str">
        <f>IF(VLOOKUP($A122,'Pre-Assessment Estimator'!$A$10:$Z$228,U$2,FALSE)=0,"",VLOOKUP($A122,'Pre-Assessment Estimator'!$A$10:$Z$228,U$2,FALSE))</f>
        <v/>
      </c>
      <c r="V122" s="575">
        <f>VLOOKUP($A122,'Pre-Assessment Estimator'!$A$10:$Z$228,V$2,FALSE)</f>
        <v>0</v>
      </c>
      <c r="W122" s="574" t="str">
        <f>VLOOKUP($A122,'Pre-Assessment Estimator'!$A$10:$Z$228,W$2,FALSE)</f>
        <v>Good</v>
      </c>
      <c r="X122" s="577" t="str">
        <f>IF(VLOOKUP($A122,'Pre-Assessment Estimator'!$A$10:$Z$228,X$2,FALSE)=0,"",VLOOKUP($A122,'Pre-Assessment Estimator'!$A$10:$Z$228,X$2,FALSE))</f>
        <v/>
      </c>
      <c r="Y122" s="577" t="str">
        <f>IF(VLOOKUP($A122,'Pre-Assessment Estimator'!$A$10:$Z$228,Y$2,FALSE)=0,"",VLOOKUP($A122,'Pre-Assessment Estimator'!$A$10:$Z$228,Y$2,FALSE))</f>
        <v/>
      </c>
      <c r="Z122" s="370" t="str">
        <f>IF(VLOOKUP($A122,'Pre-Assessment Estimator'!$A$10:$Z$228,Z$2,FALSE)=0,"",VLOOKUP($A122,'Pre-Assessment Estimator'!$A$10:$Z$228,Z$2,FALSE))</f>
        <v/>
      </c>
      <c r="AA122" s="696">
        <v>110</v>
      </c>
      <c r="AB122" s="577"/>
      <c r="AF122" s="386">
        <f t="shared" si="2"/>
        <v>1</v>
      </c>
    </row>
    <row r="123" spans="1:32" x14ac:dyDescent="0.25">
      <c r="A123" s="823">
        <v>114</v>
      </c>
      <c r="B123" s="1234" t="s">
        <v>67</v>
      </c>
      <c r="C123" s="1234"/>
      <c r="D123" s="1257" t="str">
        <f>VLOOKUP($A123,'Pre-Assessment Estimator'!$A$10:$Z$228,D$2,FALSE)</f>
        <v>Mat 01</v>
      </c>
      <c r="E123" s="1258" t="str">
        <f>VLOOKUP($A123,'Pre-Assessment Estimator'!$A$10:$Z$228,E$2,FALSE)</f>
        <v>Life cycle assessment of the building</v>
      </c>
      <c r="F123" s="574">
        <f>VLOOKUP($A123,'Pre-Assessment Estimator'!$A$10:$Z$228,F$2,FALSE)</f>
        <v>2</v>
      </c>
      <c r="G123" s="580" t="str">
        <f>IF(VLOOKUP($A123,'Pre-Assessment Estimator'!$A$10:$Z$228,G$2,FALSE)=0,"",VLOOKUP($A123,'Pre-Assessment Estimator'!$A$10:$Z$228,G$2,FALSE))</f>
        <v/>
      </c>
      <c r="H123" s="1220">
        <f>VLOOKUP($A123,'Pre-Assessment Estimator'!$A$10:$Z$228,H$2,FALSE)</f>
        <v>0</v>
      </c>
      <c r="I123" s="576" t="str">
        <f>VLOOKUP($A123,'Pre-Assessment Estimator'!$A$10:$Z$228,I$2,FALSE)</f>
        <v>N/A</v>
      </c>
      <c r="J123" s="577" t="str">
        <f>IF(VLOOKUP($A123,'Pre-Assessment Estimator'!$A$10:$Z$228,J$2,FALSE)=0,"",VLOOKUP($A123,'Pre-Assessment Estimator'!$A$10:$Z$228,J$2,FALSE))</f>
        <v/>
      </c>
      <c r="K123" s="577" t="str">
        <f>IF(VLOOKUP($A123,'Pre-Assessment Estimator'!$A$10:$Z$228,K$2,FALSE)=0,"",VLOOKUP($A123,'Pre-Assessment Estimator'!$A$10:$Z$228,K$2,FALSE))</f>
        <v/>
      </c>
      <c r="L123" s="578" t="str">
        <f>IF(VLOOKUP($A123,'Pre-Assessment Estimator'!$A$10:$Z$228,L$2,FALSE)=0,"",VLOOKUP($A123,'Pre-Assessment Estimator'!$A$10:$Z$228,L$2,FALSE))</f>
        <v/>
      </c>
      <c r="M123" s="579"/>
      <c r="N123" s="580" t="str">
        <f>IF(VLOOKUP($A123,'Pre-Assessment Estimator'!$A$10:$Z$228,N$2,FALSE)=0,"",VLOOKUP($A123,'Pre-Assessment Estimator'!$A$10:$Z$228,N$2,FALSE))</f>
        <v/>
      </c>
      <c r="O123" s="575">
        <f>VLOOKUP($A123,'Pre-Assessment Estimator'!$A$10:$Z$228,O$2,FALSE)</f>
        <v>0</v>
      </c>
      <c r="P123" s="574" t="str">
        <f>VLOOKUP($A123,'Pre-Assessment Estimator'!$A$10:$Z$228,P$2,FALSE)</f>
        <v>N/A</v>
      </c>
      <c r="Q123" s="577" t="str">
        <f>IF(VLOOKUP($A123,'Pre-Assessment Estimator'!$A$10:$Z$228,Q$2,FALSE)=0,"",VLOOKUP($A123,'Pre-Assessment Estimator'!$A$10:$Z$228,Q$2,FALSE))</f>
        <v/>
      </c>
      <c r="R123" s="577" t="str">
        <f>IF(VLOOKUP($A123,'Pre-Assessment Estimator'!$A$10:$Z$228,R$2,FALSE)=0,"",VLOOKUP($A123,'Pre-Assessment Estimator'!$A$10:$Z$228,R$2,FALSE))</f>
        <v/>
      </c>
      <c r="S123" s="578" t="str">
        <f>IF(VLOOKUP($A123,'Pre-Assessment Estimator'!$A$10:$Z$228,S$2,FALSE)=0,"",VLOOKUP($A123,'Pre-Assessment Estimator'!$A$10:$Z$228,S$2,FALSE))</f>
        <v/>
      </c>
      <c r="T123" s="581"/>
      <c r="U123" s="580" t="str">
        <f>IF(VLOOKUP($A123,'Pre-Assessment Estimator'!$A$10:$Z$228,U$2,FALSE)=0,"",VLOOKUP($A123,'Pre-Assessment Estimator'!$A$10:$Z$228,U$2,FALSE))</f>
        <v/>
      </c>
      <c r="V123" s="575">
        <f>VLOOKUP($A123,'Pre-Assessment Estimator'!$A$10:$Z$228,V$2,FALSE)</f>
        <v>0</v>
      </c>
      <c r="W123" s="574" t="str">
        <f>VLOOKUP($A123,'Pre-Assessment Estimator'!$A$10:$Z$228,W$2,FALSE)</f>
        <v>N/A</v>
      </c>
      <c r="X123" s="577" t="str">
        <f>IF(VLOOKUP($A123,'Pre-Assessment Estimator'!$A$10:$Z$228,X$2,FALSE)=0,"",VLOOKUP($A123,'Pre-Assessment Estimator'!$A$10:$Z$228,X$2,FALSE))</f>
        <v/>
      </c>
      <c r="Y123" s="577" t="str">
        <f>IF(VLOOKUP($A123,'Pre-Assessment Estimator'!$A$10:$Z$228,Y$2,FALSE)=0,"",VLOOKUP($A123,'Pre-Assessment Estimator'!$A$10:$Z$228,Y$2,FALSE))</f>
        <v/>
      </c>
      <c r="Z123" s="370" t="str">
        <f>IF(VLOOKUP($A123,'Pre-Assessment Estimator'!$A$10:$Z$228,Z$2,FALSE)=0,"",VLOOKUP($A123,'Pre-Assessment Estimator'!$A$10:$Z$228,Z$2,FALSE))</f>
        <v/>
      </c>
      <c r="AA123" s="696">
        <v>111</v>
      </c>
      <c r="AB123" s="577"/>
      <c r="AF123" s="386">
        <f t="shared" si="2"/>
        <v>1</v>
      </c>
    </row>
    <row r="124" spans="1:32" ht="30" x14ac:dyDescent="0.25">
      <c r="A124" s="823">
        <v>115</v>
      </c>
      <c r="B124" s="1234" t="s">
        <v>67</v>
      </c>
      <c r="C124" s="1234"/>
      <c r="D124" s="1256" t="str">
        <f>VLOOKUP($A124,'Pre-Assessment Estimator'!$A$10:$Z$228,D$2,FALSE)</f>
        <v>Mat 02</v>
      </c>
      <c r="E124" s="1256" t="str">
        <f>VLOOKUP($A124,'Pre-Assessment Estimator'!$A$10:$Z$228,E$2,FALSE)</f>
        <v>Mat 02 Environmental impacts from construction products - product requirements</v>
      </c>
      <c r="F124" s="574">
        <f>VLOOKUP($A124,'Pre-Assessment Estimator'!$A$10:$Z$228,F$2,FALSE)</f>
        <v>3</v>
      </c>
      <c r="G124" s="580" t="str">
        <f>IF(VLOOKUP($A124,'Pre-Assessment Estimator'!$A$10:$Z$228,G$2,FALSE)=0,"",VLOOKUP($A124,'Pre-Assessment Estimator'!$A$10:$Z$228,G$2,FALSE))</f>
        <v/>
      </c>
      <c r="H124" s="1220" t="str">
        <f>VLOOKUP($A124,'Pre-Assessment Estimator'!$A$10:$Z$228,H$2,FALSE)</f>
        <v>0 c. 0 %</v>
      </c>
      <c r="I124" s="576" t="str">
        <f>VLOOKUP($A124,'Pre-Assessment Estimator'!$A$10:$Z$228,I$2,FALSE)</f>
        <v>N/A</v>
      </c>
      <c r="J124" s="577" t="str">
        <f>IF(VLOOKUP($A124,'Pre-Assessment Estimator'!$A$10:$Z$228,J$2,FALSE)=0,"",VLOOKUP($A124,'Pre-Assessment Estimator'!$A$10:$Z$228,J$2,FALSE))</f>
        <v/>
      </c>
      <c r="K124" s="577" t="str">
        <f>IF(VLOOKUP($A124,'Pre-Assessment Estimator'!$A$10:$Z$228,K$2,FALSE)=0,"",VLOOKUP($A124,'Pre-Assessment Estimator'!$A$10:$Z$228,K$2,FALSE))</f>
        <v/>
      </c>
      <c r="L124" s="578" t="str">
        <f>IF(VLOOKUP($A124,'Pre-Assessment Estimator'!$A$10:$Z$228,L$2,FALSE)=0,"",VLOOKUP($A124,'Pre-Assessment Estimator'!$A$10:$Z$228,L$2,FALSE))</f>
        <v/>
      </c>
      <c r="M124" s="579"/>
      <c r="N124" s="580" t="str">
        <f>IF(VLOOKUP($A124,'Pre-Assessment Estimator'!$A$10:$Z$228,N$2,FALSE)=0,"",VLOOKUP($A124,'Pre-Assessment Estimator'!$A$10:$Z$228,N$2,FALSE))</f>
        <v/>
      </c>
      <c r="O124" s="575" t="str">
        <f>VLOOKUP($A124,'Pre-Assessment Estimator'!$A$10:$Z$228,O$2,FALSE)</f>
        <v>0 c. 0 %</v>
      </c>
      <c r="P124" s="574" t="str">
        <f>VLOOKUP($A124,'Pre-Assessment Estimator'!$A$10:$Z$228,P$2,FALSE)</f>
        <v>N/A</v>
      </c>
      <c r="Q124" s="577" t="str">
        <f>IF(VLOOKUP($A124,'Pre-Assessment Estimator'!$A$10:$Z$228,Q$2,FALSE)=0,"",VLOOKUP($A124,'Pre-Assessment Estimator'!$A$10:$Z$228,Q$2,FALSE))</f>
        <v/>
      </c>
      <c r="R124" s="577" t="str">
        <f>IF(VLOOKUP($A124,'Pre-Assessment Estimator'!$A$10:$Z$228,R$2,FALSE)=0,"",VLOOKUP($A124,'Pre-Assessment Estimator'!$A$10:$Z$228,R$2,FALSE))</f>
        <v/>
      </c>
      <c r="S124" s="578" t="str">
        <f>IF(VLOOKUP($A124,'Pre-Assessment Estimator'!$A$10:$Z$228,S$2,FALSE)=0,"",VLOOKUP($A124,'Pre-Assessment Estimator'!$A$10:$Z$228,S$2,FALSE))</f>
        <v/>
      </c>
      <c r="T124" s="581"/>
      <c r="U124" s="580" t="str">
        <f>IF(VLOOKUP($A124,'Pre-Assessment Estimator'!$A$10:$Z$228,U$2,FALSE)=0,"",VLOOKUP($A124,'Pre-Assessment Estimator'!$A$10:$Z$228,U$2,FALSE))</f>
        <v/>
      </c>
      <c r="V124" s="575" t="str">
        <f>VLOOKUP($A124,'Pre-Assessment Estimator'!$A$10:$Z$228,V$2,FALSE)</f>
        <v>0 c. 0 %</v>
      </c>
      <c r="W124" s="574" t="str">
        <f>VLOOKUP($A124,'Pre-Assessment Estimator'!$A$10:$Z$228,W$2,FALSE)</f>
        <v>N/A</v>
      </c>
      <c r="X124" s="577" t="str">
        <f>IF(VLOOKUP($A124,'Pre-Assessment Estimator'!$A$10:$Z$228,X$2,FALSE)=0,"",VLOOKUP($A124,'Pre-Assessment Estimator'!$A$10:$Z$228,X$2,FALSE))</f>
        <v/>
      </c>
      <c r="Y124" s="577" t="str">
        <f>IF(VLOOKUP($A124,'Pre-Assessment Estimator'!$A$10:$Z$228,Y$2,FALSE)=0,"",VLOOKUP($A124,'Pre-Assessment Estimator'!$A$10:$Z$228,Y$2,FALSE))</f>
        <v/>
      </c>
      <c r="Z124" s="370" t="str">
        <f>IF(VLOOKUP($A124,'Pre-Assessment Estimator'!$A$10:$Z$228,Z$2,FALSE)=0,"",VLOOKUP($A124,'Pre-Assessment Estimator'!$A$10:$Z$228,Z$2,FALSE))</f>
        <v/>
      </c>
      <c r="AA124" s="696">
        <v>112</v>
      </c>
      <c r="AB124" s="577"/>
      <c r="AF124" s="386">
        <f t="shared" si="2"/>
        <v>1</v>
      </c>
    </row>
    <row r="125" spans="1:32" ht="30" x14ac:dyDescent="0.25">
      <c r="A125" s="823">
        <v>116</v>
      </c>
      <c r="B125" s="1234" t="s">
        <v>67</v>
      </c>
      <c r="C125" s="1234"/>
      <c r="D125" s="1257" t="str">
        <f>VLOOKUP($A125,'Pre-Assessment Estimator'!$A$10:$Z$228,D$2,FALSE)</f>
        <v>Mat 02</v>
      </c>
      <c r="E125" s="1258" t="str">
        <f>VLOOKUP($A125,'Pre-Assessment Estimator'!$A$10:$Z$228,E$2,FALSE)</f>
        <v>Minimum req: absence of environmental toxins (EU taxonomy requirement: criterion 1)</v>
      </c>
      <c r="F125" s="574" t="str">
        <f>VLOOKUP($A125,'Pre-Assessment Estimator'!$A$10:$Z$228,F$2,FALSE)</f>
        <v>Yes/No</v>
      </c>
      <c r="G125" s="580" t="str">
        <f>IF(VLOOKUP($A125,'Pre-Assessment Estimator'!$A$10:$Z$228,G$2,FALSE)=0,"",VLOOKUP($A125,'Pre-Assessment Estimator'!$A$10:$Z$228,G$2,FALSE))</f>
        <v/>
      </c>
      <c r="H125" s="1220" t="str">
        <f>VLOOKUP($A125,'Pre-Assessment Estimator'!$A$10:$Z$228,H$2,FALSE)</f>
        <v>-</v>
      </c>
      <c r="I125" s="576" t="str">
        <f>VLOOKUP($A125,'Pre-Assessment Estimator'!$A$10:$Z$228,I$2,FALSE)</f>
        <v>Unclassified</v>
      </c>
      <c r="J125" s="577" t="str">
        <f>IF(VLOOKUP($A125,'Pre-Assessment Estimator'!$A$10:$Z$228,J$2,FALSE)=0,"",VLOOKUP($A125,'Pre-Assessment Estimator'!$A$10:$Z$228,J$2,FALSE))</f>
        <v/>
      </c>
      <c r="K125" s="577" t="str">
        <f>IF(VLOOKUP($A125,'Pre-Assessment Estimator'!$A$10:$Z$228,K$2,FALSE)=0,"",VLOOKUP($A125,'Pre-Assessment Estimator'!$A$10:$Z$228,K$2,FALSE))</f>
        <v/>
      </c>
      <c r="L125" s="578" t="str">
        <f>IF(VLOOKUP($A125,'Pre-Assessment Estimator'!$A$10:$Z$228,L$2,FALSE)=0,"",VLOOKUP($A125,'Pre-Assessment Estimator'!$A$10:$Z$228,L$2,FALSE))</f>
        <v/>
      </c>
      <c r="M125" s="579"/>
      <c r="N125" s="580" t="str">
        <f>IF(VLOOKUP($A125,'Pre-Assessment Estimator'!$A$10:$Z$228,N$2,FALSE)=0,"",VLOOKUP($A125,'Pre-Assessment Estimator'!$A$10:$Z$228,N$2,FALSE))</f>
        <v/>
      </c>
      <c r="O125" s="575" t="str">
        <f>VLOOKUP($A125,'Pre-Assessment Estimator'!$A$10:$Z$228,O$2,FALSE)</f>
        <v>-</v>
      </c>
      <c r="P125" s="574" t="str">
        <f>VLOOKUP($A125,'Pre-Assessment Estimator'!$A$10:$Z$228,P$2,FALSE)</f>
        <v>Unclassified</v>
      </c>
      <c r="Q125" s="577" t="str">
        <f>IF(VLOOKUP($A125,'Pre-Assessment Estimator'!$A$10:$Z$228,Q$2,FALSE)=0,"",VLOOKUP($A125,'Pre-Assessment Estimator'!$A$10:$Z$228,Q$2,FALSE))</f>
        <v/>
      </c>
      <c r="R125" s="577" t="str">
        <f>IF(VLOOKUP($A125,'Pre-Assessment Estimator'!$A$10:$Z$228,R$2,FALSE)=0,"",VLOOKUP($A125,'Pre-Assessment Estimator'!$A$10:$Z$228,R$2,FALSE))</f>
        <v/>
      </c>
      <c r="S125" s="578" t="str">
        <f>IF(VLOOKUP($A125,'Pre-Assessment Estimator'!$A$10:$Z$228,S$2,FALSE)=0,"",VLOOKUP($A125,'Pre-Assessment Estimator'!$A$10:$Z$228,S$2,FALSE))</f>
        <v/>
      </c>
      <c r="T125" s="581"/>
      <c r="U125" s="580" t="str">
        <f>IF(VLOOKUP($A125,'Pre-Assessment Estimator'!$A$10:$Z$228,U$2,FALSE)=0,"",VLOOKUP($A125,'Pre-Assessment Estimator'!$A$10:$Z$228,U$2,FALSE))</f>
        <v/>
      </c>
      <c r="V125" s="575" t="str">
        <f>VLOOKUP($A125,'Pre-Assessment Estimator'!$A$10:$Z$228,V$2,FALSE)</f>
        <v>-</v>
      </c>
      <c r="W125" s="574" t="str">
        <f>VLOOKUP($A125,'Pre-Assessment Estimator'!$A$10:$Z$228,W$2,FALSE)</f>
        <v>Unclassified</v>
      </c>
      <c r="X125" s="577" t="str">
        <f>IF(VLOOKUP($A125,'Pre-Assessment Estimator'!$A$10:$Z$228,X$2,FALSE)=0,"",VLOOKUP($A125,'Pre-Assessment Estimator'!$A$10:$Z$228,X$2,FALSE))</f>
        <v/>
      </c>
      <c r="Y125" s="577" t="str">
        <f>IF(VLOOKUP($A125,'Pre-Assessment Estimator'!$A$10:$Z$228,Y$2,FALSE)=0,"",VLOOKUP($A125,'Pre-Assessment Estimator'!$A$10:$Z$228,Y$2,FALSE))</f>
        <v/>
      </c>
      <c r="Z125" s="370" t="str">
        <f>IF(VLOOKUP($A125,'Pre-Assessment Estimator'!$A$10:$Z$228,Z$2,FALSE)=0,"",VLOOKUP($A125,'Pre-Assessment Estimator'!$A$10:$Z$228,Z$2,FALSE))</f>
        <v/>
      </c>
      <c r="AA125" s="696">
        <v>113</v>
      </c>
      <c r="AB125" s="577"/>
      <c r="AF125" s="386">
        <f t="shared" si="2"/>
        <v>1</v>
      </c>
    </row>
    <row r="126" spans="1:32" x14ac:dyDescent="0.25">
      <c r="A126" s="823">
        <v>117</v>
      </c>
      <c r="B126" s="1234" t="s">
        <v>67</v>
      </c>
      <c r="C126" s="1234"/>
      <c r="D126" s="1257" t="str">
        <f>VLOOKUP($A126,'Pre-Assessment Estimator'!$A$10:$Z$228,D$2,FALSE)</f>
        <v>Mat 02</v>
      </c>
      <c r="E126" s="1258" t="str">
        <f>VLOOKUP($A126,'Pre-Assessment Estimator'!$A$10:$Z$228,E$2,FALSE)</f>
        <v xml:space="preserve">EPD for construction products </v>
      </c>
      <c r="F126" s="574">
        <f>VLOOKUP($A126,'Pre-Assessment Estimator'!$A$10:$Z$228,F$2,FALSE)</f>
        <v>1</v>
      </c>
      <c r="G126" s="580" t="str">
        <f>IF(VLOOKUP($A126,'Pre-Assessment Estimator'!$A$10:$Z$228,G$2,FALSE)=0,"",VLOOKUP($A126,'Pre-Assessment Estimator'!$A$10:$Z$228,G$2,FALSE))</f>
        <v/>
      </c>
      <c r="H126" s="1220">
        <f>VLOOKUP($A126,'Pre-Assessment Estimator'!$A$10:$Z$228,H$2,FALSE)</f>
        <v>0</v>
      </c>
      <c r="I126" s="576" t="str">
        <f>VLOOKUP($A126,'Pre-Assessment Estimator'!$A$10:$Z$228,I$2,FALSE)</f>
        <v>N/A</v>
      </c>
      <c r="J126" s="577" t="str">
        <f>IF(VLOOKUP($A126,'Pre-Assessment Estimator'!$A$10:$Z$228,J$2,FALSE)=0,"",VLOOKUP($A126,'Pre-Assessment Estimator'!$A$10:$Z$228,J$2,FALSE))</f>
        <v/>
      </c>
      <c r="K126" s="577" t="str">
        <f>IF(VLOOKUP($A126,'Pre-Assessment Estimator'!$A$10:$Z$228,K$2,FALSE)=0,"",VLOOKUP($A126,'Pre-Assessment Estimator'!$A$10:$Z$228,K$2,FALSE))</f>
        <v/>
      </c>
      <c r="L126" s="578" t="str">
        <f>IF(VLOOKUP($A126,'Pre-Assessment Estimator'!$A$10:$Z$228,L$2,FALSE)=0,"",VLOOKUP($A126,'Pre-Assessment Estimator'!$A$10:$Z$228,L$2,FALSE))</f>
        <v/>
      </c>
      <c r="M126" s="579"/>
      <c r="N126" s="580" t="str">
        <f>IF(VLOOKUP($A126,'Pre-Assessment Estimator'!$A$10:$Z$228,N$2,FALSE)=0,"",VLOOKUP($A126,'Pre-Assessment Estimator'!$A$10:$Z$228,N$2,FALSE))</f>
        <v/>
      </c>
      <c r="O126" s="575">
        <f>VLOOKUP($A126,'Pre-Assessment Estimator'!$A$10:$Z$228,O$2,FALSE)</f>
        <v>0</v>
      </c>
      <c r="P126" s="574" t="str">
        <f>VLOOKUP($A126,'Pre-Assessment Estimator'!$A$10:$Z$228,P$2,FALSE)</f>
        <v>N/A</v>
      </c>
      <c r="Q126" s="577" t="str">
        <f>IF(VLOOKUP($A126,'Pre-Assessment Estimator'!$A$10:$Z$228,Q$2,FALSE)=0,"",VLOOKUP($A126,'Pre-Assessment Estimator'!$A$10:$Z$228,Q$2,FALSE))</f>
        <v/>
      </c>
      <c r="R126" s="577" t="str">
        <f>IF(VLOOKUP($A126,'Pre-Assessment Estimator'!$A$10:$Z$228,R$2,FALSE)=0,"",VLOOKUP($A126,'Pre-Assessment Estimator'!$A$10:$Z$228,R$2,FALSE))</f>
        <v/>
      </c>
      <c r="S126" s="578" t="str">
        <f>IF(VLOOKUP($A126,'Pre-Assessment Estimator'!$A$10:$Z$228,S$2,FALSE)=0,"",VLOOKUP($A126,'Pre-Assessment Estimator'!$A$10:$Z$228,S$2,FALSE))</f>
        <v/>
      </c>
      <c r="T126" s="581"/>
      <c r="U126" s="580" t="str">
        <f>IF(VLOOKUP($A126,'Pre-Assessment Estimator'!$A$10:$Z$228,U$2,FALSE)=0,"",VLOOKUP($A126,'Pre-Assessment Estimator'!$A$10:$Z$228,U$2,FALSE))</f>
        <v/>
      </c>
      <c r="V126" s="575">
        <f>VLOOKUP($A126,'Pre-Assessment Estimator'!$A$10:$Z$228,V$2,FALSE)</f>
        <v>0</v>
      </c>
      <c r="W126" s="574" t="str">
        <f>VLOOKUP($A126,'Pre-Assessment Estimator'!$A$10:$Z$228,W$2,FALSE)</f>
        <v>N/A</v>
      </c>
      <c r="X126" s="577" t="str">
        <f>IF(VLOOKUP($A126,'Pre-Assessment Estimator'!$A$10:$Z$228,X$2,FALSE)=0,"",VLOOKUP($A126,'Pre-Assessment Estimator'!$A$10:$Z$228,X$2,FALSE))</f>
        <v/>
      </c>
      <c r="Y126" s="577" t="str">
        <f>IF(VLOOKUP($A126,'Pre-Assessment Estimator'!$A$10:$Z$228,Y$2,FALSE)=0,"",VLOOKUP($A126,'Pre-Assessment Estimator'!$A$10:$Z$228,Y$2,FALSE))</f>
        <v/>
      </c>
      <c r="Z126" s="370" t="str">
        <f>IF(VLOOKUP($A126,'Pre-Assessment Estimator'!$A$10:$Z$228,Z$2,FALSE)=0,"",VLOOKUP($A126,'Pre-Assessment Estimator'!$A$10:$Z$228,Z$2,FALSE))</f>
        <v/>
      </c>
      <c r="AA126" s="696">
        <v>114</v>
      </c>
      <c r="AB126" s="577"/>
      <c r="AF126" s="386">
        <f t="shared" si="2"/>
        <v>1</v>
      </c>
    </row>
    <row r="127" spans="1:32" x14ac:dyDescent="0.25">
      <c r="A127" s="823">
        <v>118</v>
      </c>
      <c r="B127" s="1234" t="s">
        <v>67</v>
      </c>
      <c r="C127" s="1234"/>
      <c r="D127" s="1257" t="str">
        <f>VLOOKUP($A127,'Pre-Assessment Estimator'!$A$10:$Z$228,D$2,FALSE)</f>
        <v>Mat 02</v>
      </c>
      <c r="E127" s="1258" t="str">
        <f>VLOOKUP($A127,'Pre-Assessment Estimator'!$A$10:$Z$228,E$2,FALSE)</f>
        <v xml:space="preserve">Performance requirements for construction products </v>
      </c>
      <c r="F127" s="574">
        <f>VLOOKUP($A127,'Pre-Assessment Estimator'!$A$10:$Z$228,F$2,FALSE)</f>
        <v>2</v>
      </c>
      <c r="G127" s="580" t="str">
        <f>IF(VLOOKUP($A127,'Pre-Assessment Estimator'!$A$10:$Z$228,G$2,FALSE)=0,"",VLOOKUP($A127,'Pre-Assessment Estimator'!$A$10:$Z$228,G$2,FALSE))</f>
        <v/>
      </c>
      <c r="H127" s="1220">
        <f>VLOOKUP($A127,'Pre-Assessment Estimator'!$A$10:$Z$228,H$2,FALSE)</f>
        <v>0</v>
      </c>
      <c r="I127" s="576" t="str">
        <f>VLOOKUP($A127,'Pre-Assessment Estimator'!$A$10:$Z$228,I$2,FALSE)</f>
        <v>N/A</v>
      </c>
      <c r="J127" s="577" t="str">
        <f>IF(VLOOKUP($A127,'Pre-Assessment Estimator'!$A$10:$Z$228,J$2,FALSE)=0,"",VLOOKUP($A127,'Pre-Assessment Estimator'!$A$10:$Z$228,J$2,FALSE))</f>
        <v/>
      </c>
      <c r="K127" s="577" t="str">
        <f>IF(VLOOKUP($A127,'Pre-Assessment Estimator'!$A$10:$Z$228,K$2,FALSE)=0,"",VLOOKUP($A127,'Pre-Assessment Estimator'!$A$10:$Z$228,K$2,FALSE))</f>
        <v/>
      </c>
      <c r="L127" s="578" t="str">
        <f>IF(VLOOKUP($A127,'Pre-Assessment Estimator'!$A$10:$Z$228,L$2,FALSE)=0,"",VLOOKUP($A127,'Pre-Assessment Estimator'!$A$10:$Z$228,L$2,FALSE))</f>
        <v/>
      </c>
      <c r="M127" s="579"/>
      <c r="N127" s="580" t="str">
        <f>IF(VLOOKUP($A127,'Pre-Assessment Estimator'!$A$10:$Z$228,N$2,FALSE)=0,"",VLOOKUP($A127,'Pre-Assessment Estimator'!$A$10:$Z$228,N$2,FALSE))</f>
        <v/>
      </c>
      <c r="O127" s="575">
        <f>VLOOKUP($A127,'Pre-Assessment Estimator'!$A$10:$Z$228,O$2,FALSE)</f>
        <v>0</v>
      </c>
      <c r="P127" s="574" t="str">
        <f>VLOOKUP($A127,'Pre-Assessment Estimator'!$A$10:$Z$228,P$2,FALSE)</f>
        <v>N/A</v>
      </c>
      <c r="Q127" s="577" t="str">
        <f>IF(VLOOKUP($A127,'Pre-Assessment Estimator'!$A$10:$Z$228,Q$2,FALSE)=0,"",VLOOKUP($A127,'Pre-Assessment Estimator'!$A$10:$Z$228,Q$2,FALSE))</f>
        <v/>
      </c>
      <c r="R127" s="577" t="str">
        <f>IF(VLOOKUP($A127,'Pre-Assessment Estimator'!$A$10:$Z$228,R$2,FALSE)=0,"",VLOOKUP($A127,'Pre-Assessment Estimator'!$A$10:$Z$228,R$2,FALSE))</f>
        <v/>
      </c>
      <c r="S127" s="578" t="str">
        <f>IF(VLOOKUP($A127,'Pre-Assessment Estimator'!$A$10:$Z$228,S$2,FALSE)=0,"",VLOOKUP($A127,'Pre-Assessment Estimator'!$A$10:$Z$228,S$2,FALSE))</f>
        <v/>
      </c>
      <c r="T127" s="581"/>
      <c r="U127" s="580" t="str">
        <f>IF(VLOOKUP($A127,'Pre-Assessment Estimator'!$A$10:$Z$228,U$2,FALSE)=0,"",VLOOKUP($A127,'Pre-Assessment Estimator'!$A$10:$Z$228,U$2,FALSE))</f>
        <v/>
      </c>
      <c r="V127" s="575">
        <f>VLOOKUP($A127,'Pre-Assessment Estimator'!$A$10:$Z$228,V$2,FALSE)</f>
        <v>0</v>
      </c>
      <c r="W127" s="574" t="str">
        <f>VLOOKUP($A127,'Pre-Assessment Estimator'!$A$10:$Z$228,W$2,FALSE)</f>
        <v>N/A</v>
      </c>
      <c r="X127" s="577" t="str">
        <f>IF(VLOOKUP($A127,'Pre-Assessment Estimator'!$A$10:$Z$228,X$2,FALSE)=0,"",VLOOKUP($A127,'Pre-Assessment Estimator'!$A$10:$Z$228,X$2,FALSE))</f>
        <v/>
      </c>
      <c r="Y127" s="577" t="str">
        <f>IF(VLOOKUP($A127,'Pre-Assessment Estimator'!$A$10:$Z$228,Y$2,FALSE)=0,"",VLOOKUP($A127,'Pre-Assessment Estimator'!$A$10:$Z$228,Y$2,FALSE))</f>
        <v/>
      </c>
      <c r="Z127" s="370" t="str">
        <f>IF(VLOOKUP($A127,'Pre-Assessment Estimator'!$A$10:$Z$228,Z$2,FALSE)=0,"",VLOOKUP($A127,'Pre-Assessment Estimator'!$A$10:$Z$228,Z$2,FALSE))</f>
        <v/>
      </c>
      <c r="AA127" s="696">
        <v>115</v>
      </c>
      <c r="AB127" s="577"/>
      <c r="AF127" s="386">
        <f t="shared" si="2"/>
        <v>1</v>
      </c>
    </row>
    <row r="128" spans="1:32" x14ac:dyDescent="0.25">
      <c r="A128" s="823">
        <v>119</v>
      </c>
      <c r="B128" s="1234" t="s">
        <v>67</v>
      </c>
      <c r="C128" s="1234"/>
      <c r="D128" s="1256" t="str">
        <f>VLOOKUP($A128,'Pre-Assessment Estimator'!$A$10:$Z$228,D$2,FALSE)</f>
        <v>Mat 03</v>
      </c>
      <c r="E128" s="1256" t="str">
        <f>VLOOKUP($A128,'Pre-Assessment Estimator'!$A$10:$Z$228,E$2,FALSE)</f>
        <v>Mat 03 Responsible sourcing of construction products</v>
      </c>
      <c r="F128" s="574">
        <f>VLOOKUP($A128,'Pre-Assessment Estimator'!$A$10:$Z$228,F$2,FALSE)</f>
        <v>3</v>
      </c>
      <c r="G128" s="580" t="str">
        <f>IF(VLOOKUP($A128,'Pre-Assessment Estimator'!$A$10:$Z$228,G$2,FALSE)=0,"",VLOOKUP($A128,'Pre-Assessment Estimator'!$A$10:$Z$228,G$2,FALSE))</f>
        <v/>
      </c>
      <c r="H128" s="1220" t="str">
        <f>VLOOKUP($A128,'Pre-Assessment Estimator'!$A$10:$Z$228,H$2,FALSE)</f>
        <v>0 c. 0 %</v>
      </c>
      <c r="I128" s="576" t="str">
        <f>VLOOKUP($A128,'Pre-Assessment Estimator'!$A$10:$Z$228,I$2,FALSE)</f>
        <v>N/A</v>
      </c>
      <c r="J128" s="577" t="str">
        <f>IF(VLOOKUP($A128,'Pre-Assessment Estimator'!$A$10:$Z$228,J$2,FALSE)=0,"",VLOOKUP($A128,'Pre-Assessment Estimator'!$A$10:$Z$228,J$2,FALSE))</f>
        <v/>
      </c>
      <c r="K128" s="577" t="str">
        <f>IF(VLOOKUP($A128,'Pre-Assessment Estimator'!$A$10:$Z$228,K$2,FALSE)=0,"",VLOOKUP($A128,'Pre-Assessment Estimator'!$A$10:$Z$228,K$2,FALSE))</f>
        <v/>
      </c>
      <c r="L128" s="578" t="str">
        <f>IF(VLOOKUP($A128,'Pre-Assessment Estimator'!$A$10:$Z$228,L$2,FALSE)=0,"",VLOOKUP($A128,'Pre-Assessment Estimator'!$A$10:$Z$228,L$2,FALSE))</f>
        <v/>
      </c>
      <c r="M128" s="579"/>
      <c r="N128" s="580" t="str">
        <f>IF(VLOOKUP($A128,'Pre-Assessment Estimator'!$A$10:$Z$228,N$2,FALSE)=0,"",VLOOKUP($A128,'Pre-Assessment Estimator'!$A$10:$Z$228,N$2,FALSE))</f>
        <v/>
      </c>
      <c r="O128" s="575" t="str">
        <f>VLOOKUP($A128,'Pre-Assessment Estimator'!$A$10:$Z$228,O$2,FALSE)</f>
        <v>0 c. 0 %</v>
      </c>
      <c r="P128" s="574" t="str">
        <f>VLOOKUP($A128,'Pre-Assessment Estimator'!$A$10:$Z$228,P$2,FALSE)</f>
        <v>N/A</v>
      </c>
      <c r="Q128" s="577" t="str">
        <f>IF(VLOOKUP($A128,'Pre-Assessment Estimator'!$A$10:$Z$228,Q$2,FALSE)=0,"",VLOOKUP($A128,'Pre-Assessment Estimator'!$A$10:$Z$228,Q$2,FALSE))</f>
        <v/>
      </c>
      <c r="R128" s="577" t="str">
        <f>IF(VLOOKUP($A128,'Pre-Assessment Estimator'!$A$10:$Z$228,R$2,FALSE)=0,"",VLOOKUP($A128,'Pre-Assessment Estimator'!$A$10:$Z$228,R$2,FALSE))</f>
        <v/>
      </c>
      <c r="S128" s="578" t="str">
        <f>IF(VLOOKUP($A128,'Pre-Assessment Estimator'!$A$10:$Z$228,S$2,FALSE)=0,"",VLOOKUP($A128,'Pre-Assessment Estimator'!$A$10:$Z$228,S$2,FALSE))</f>
        <v/>
      </c>
      <c r="T128" s="581"/>
      <c r="U128" s="580" t="str">
        <f>IF(VLOOKUP($A128,'Pre-Assessment Estimator'!$A$10:$Z$228,U$2,FALSE)=0,"",VLOOKUP($A128,'Pre-Assessment Estimator'!$A$10:$Z$228,U$2,FALSE))</f>
        <v/>
      </c>
      <c r="V128" s="575" t="str">
        <f>VLOOKUP($A128,'Pre-Assessment Estimator'!$A$10:$Z$228,V$2,FALSE)</f>
        <v>0 c. 0 %</v>
      </c>
      <c r="W128" s="574" t="str">
        <f>VLOOKUP($A128,'Pre-Assessment Estimator'!$A$10:$Z$228,W$2,FALSE)</f>
        <v>N/A</v>
      </c>
      <c r="X128" s="577" t="str">
        <f>IF(VLOOKUP($A128,'Pre-Assessment Estimator'!$A$10:$Z$228,X$2,FALSE)=0,"",VLOOKUP($A128,'Pre-Assessment Estimator'!$A$10:$Z$228,X$2,FALSE))</f>
        <v/>
      </c>
      <c r="Y128" s="577" t="str">
        <f>IF(VLOOKUP($A128,'Pre-Assessment Estimator'!$A$10:$Z$228,Y$2,FALSE)=0,"",VLOOKUP($A128,'Pre-Assessment Estimator'!$A$10:$Z$228,Y$2,FALSE))</f>
        <v/>
      </c>
      <c r="Z128" s="370" t="str">
        <f>IF(VLOOKUP($A128,'Pre-Assessment Estimator'!$A$10:$Z$228,Z$2,FALSE)=0,"",VLOOKUP($A128,'Pre-Assessment Estimator'!$A$10:$Z$228,Z$2,FALSE))</f>
        <v/>
      </c>
      <c r="AA128" s="696">
        <v>116</v>
      </c>
      <c r="AB128" s="577"/>
      <c r="AF128" s="386">
        <f t="shared" si="2"/>
        <v>1</v>
      </c>
    </row>
    <row r="129" spans="1:32" x14ac:dyDescent="0.25">
      <c r="A129" s="823">
        <v>120</v>
      </c>
      <c r="B129" s="1234" t="s">
        <v>67</v>
      </c>
      <c r="C129" s="1234"/>
      <c r="D129" s="1257" t="str">
        <f>VLOOKUP($A129,'Pre-Assessment Estimator'!$A$10:$Z$228,D$2,FALSE)</f>
        <v>Mat 03</v>
      </c>
      <c r="E129" s="1258" t="str">
        <f>VLOOKUP($A129,'Pre-Assessment Estimator'!$A$10:$Z$228,E$2,FALSE)</f>
        <v>Minimum req: legal and sustainable timber</v>
      </c>
      <c r="F129" s="574" t="str">
        <f>VLOOKUP($A129,'Pre-Assessment Estimator'!$A$10:$Z$228,F$2,FALSE)</f>
        <v>Yes/No</v>
      </c>
      <c r="G129" s="580" t="str">
        <f>IF(VLOOKUP($A129,'Pre-Assessment Estimator'!$A$10:$Z$228,G$2,FALSE)=0,"",VLOOKUP($A129,'Pre-Assessment Estimator'!$A$10:$Z$228,G$2,FALSE))</f>
        <v/>
      </c>
      <c r="H129" s="1220" t="str">
        <f>VLOOKUP($A129,'Pre-Assessment Estimator'!$A$10:$Z$228,H$2,FALSE)</f>
        <v>-</v>
      </c>
      <c r="I129" s="576" t="str">
        <f>VLOOKUP($A129,'Pre-Assessment Estimator'!$A$10:$Z$228,I$2,FALSE)</f>
        <v>Unclassified</v>
      </c>
      <c r="J129" s="577" t="str">
        <f>IF(VLOOKUP($A129,'Pre-Assessment Estimator'!$A$10:$Z$228,J$2,FALSE)=0,"",VLOOKUP($A129,'Pre-Assessment Estimator'!$A$10:$Z$228,J$2,FALSE))</f>
        <v/>
      </c>
      <c r="K129" s="577" t="str">
        <f>IF(VLOOKUP($A129,'Pre-Assessment Estimator'!$A$10:$Z$228,K$2,FALSE)=0,"",VLOOKUP($A129,'Pre-Assessment Estimator'!$A$10:$Z$228,K$2,FALSE))</f>
        <v/>
      </c>
      <c r="L129" s="578" t="str">
        <f>IF(VLOOKUP($A129,'Pre-Assessment Estimator'!$A$10:$Z$228,L$2,FALSE)=0,"",VLOOKUP($A129,'Pre-Assessment Estimator'!$A$10:$Z$228,L$2,FALSE))</f>
        <v/>
      </c>
      <c r="M129" s="579"/>
      <c r="N129" s="580" t="str">
        <f>IF(VLOOKUP($A129,'Pre-Assessment Estimator'!$A$10:$Z$228,N$2,FALSE)=0,"",VLOOKUP($A129,'Pre-Assessment Estimator'!$A$10:$Z$228,N$2,FALSE))</f>
        <v/>
      </c>
      <c r="O129" s="575" t="str">
        <f>VLOOKUP($A129,'Pre-Assessment Estimator'!$A$10:$Z$228,O$2,FALSE)</f>
        <v>-</v>
      </c>
      <c r="P129" s="574" t="str">
        <f>VLOOKUP($A129,'Pre-Assessment Estimator'!$A$10:$Z$228,P$2,FALSE)</f>
        <v>Unclassified</v>
      </c>
      <c r="Q129" s="577" t="str">
        <f>IF(VLOOKUP($A129,'Pre-Assessment Estimator'!$A$10:$Z$228,Q$2,FALSE)=0,"",VLOOKUP($A129,'Pre-Assessment Estimator'!$A$10:$Z$228,Q$2,FALSE))</f>
        <v/>
      </c>
      <c r="R129" s="577" t="str">
        <f>IF(VLOOKUP($A129,'Pre-Assessment Estimator'!$A$10:$Z$228,R$2,FALSE)=0,"",VLOOKUP($A129,'Pre-Assessment Estimator'!$A$10:$Z$228,R$2,FALSE))</f>
        <v/>
      </c>
      <c r="S129" s="578" t="str">
        <f>IF(VLOOKUP($A129,'Pre-Assessment Estimator'!$A$10:$Z$228,S$2,FALSE)=0,"",VLOOKUP($A129,'Pre-Assessment Estimator'!$A$10:$Z$228,S$2,FALSE))</f>
        <v/>
      </c>
      <c r="T129" s="581"/>
      <c r="U129" s="580" t="str">
        <f>IF(VLOOKUP($A129,'Pre-Assessment Estimator'!$A$10:$Z$228,U$2,FALSE)=0,"",VLOOKUP($A129,'Pre-Assessment Estimator'!$A$10:$Z$228,U$2,FALSE))</f>
        <v/>
      </c>
      <c r="V129" s="575" t="str">
        <f>VLOOKUP($A129,'Pre-Assessment Estimator'!$A$10:$Z$228,V$2,FALSE)</f>
        <v>-</v>
      </c>
      <c r="W129" s="574" t="str">
        <f>VLOOKUP($A129,'Pre-Assessment Estimator'!$A$10:$Z$228,W$2,FALSE)</f>
        <v>Unclassified</v>
      </c>
      <c r="X129" s="577" t="str">
        <f>IF(VLOOKUP($A129,'Pre-Assessment Estimator'!$A$10:$Z$228,X$2,FALSE)=0,"",VLOOKUP($A129,'Pre-Assessment Estimator'!$A$10:$Z$228,X$2,FALSE))</f>
        <v/>
      </c>
      <c r="Y129" s="577" t="str">
        <f>IF(VLOOKUP($A129,'Pre-Assessment Estimator'!$A$10:$Z$228,Y$2,FALSE)=0,"",VLOOKUP($A129,'Pre-Assessment Estimator'!$A$10:$Z$228,Y$2,FALSE))</f>
        <v/>
      </c>
      <c r="Z129" s="370" t="str">
        <f>IF(VLOOKUP($A129,'Pre-Assessment Estimator'!$A$10:$Z$228,Z$2,FALSE)=0,"",VLOOKUP($A129,'Pre-Assessment Estimator'!$A$10:$Z$228,Z$2,FALSE))</f>
        <v/>
      </c>
      <c r="AA129" s="696">
        <v>117</v>
      </c>
      <c r="AB129" s="577"/>
      <c r="AF129" s="386">
        <f t="shared" si="2"/>
        <v>1</v>
      </c>
    </row>
    <row r="130" spans="1:32" x14ac:dyDescent="0.25">
      <c r="A130" s="823">
        <v>121</v>
      </c>
      <c r="B130" s="1234" t="s">
        <v>67</v>
      </c>
      <c r="C130" s="1234"/>
      <c r="D130" s="1257" t="str">
        <f>VLOOKUP($A130,'Pre-Assessment Estimator'!$A$10:$Z$228,D$2,FALSE)</f>
        <v>Mat 03</v>
      </c>
      <c r="E130" s="1258" t="str">
        <f>VLOOKUP($A130,'Pre-Assessment Estimator'!$A$10:$Z$228,E$2,FALSE)</f>
        <v>Enabling sustainable procurement</v>
      </c>
      <c r="F130" s="574">
        <f>VLOOKUP($A130,'Pre-Assessment Estimator'!$A$10:$Z$228,F$2,FALSE)</f>
        <v>1</v>
      </c>
      <c r="G130" s="580" t="str">
        <f>IF(VLOOKUP($A130,'Pre-Assessment Estimator'!$A$10:$Z$228,G$2,FALSE)=0,"",VLOOKUP($A130,'Pre-Assessment Estimator'!$A$10:$Z$228,G$2,FALSE))</f>
        <v/>
      </c>
      <c r="H130" s="1220">
        <f>VLOOKUP($A130,'Pre-Assessment Estimator'!$A$10:$Z$228,H$2,FALSE)</f>
        <v>0</v>
      </c>
      <c r="I130" s="576" t="str">
        <f>VLOOKUP($A130,'Pre-Assessment Estimator'!$A$10:$Z$228,I$2,FALSE)</f>
        <v>N/A</v>
      </c>
      <c r="J130" s="577" t="str">
        <f>IF(VLOOKUP($A130,'Pre-Assessment Estimator'!$A$10:$Z$228,J$2,FALSE)=0,"",VLOOKUP($A130,'Pre-Assessment Estimator'!$A$10:$Z$228,J$2,FALSE))</f>
        <v/>
      </c>
      <c r="K130" s="577" t="str">
        <f>IF(VLOOKUP($A130,'Pre-Assessment Estimator'!$A$10:$Z$228,K$2,FALSE)=0,"",VLOOKUP($A130,'Pre-Assessment Estimator'!$A$10:$Z$228,K$2,FALSE))</f>
        <v/>
      </c>
      <c r="L130" s="578" t="str">
        <f>IF(VLOOKUP($A130,'Pre-Assessment Estimator'!$A$10:$Z$228,L$2,FALSE)=0,"",VLOOKUP($A130,'Pre-Assessment Estimator'!$A$10:$Z$228,L$2,FALSE))</f>
        <v/>
      </c>
      <c r="M130" s="579"/>
      <c r="N130" s="580" t="str">
        <f>IF(VLOOKUP($A130,'Pre-Assessment Estimator'!$A$10:$Z$228,N$2,FALSE)=0,"",VLOOKUP($A130,'Pre-Assessment Estimator'!$A$10:$Z$228,N$2,FALSE))</f>
        <v/>
      </c>
      <c r="O130" s="575">
        <f>VLOOKUP($A130,'Pre-Assessment Estimator'!$A$10:$Z$228,O$2,FALSE)</f>
        <v>0</v>
      </c>
      <c r="P130" s="574" t="str">
        <f>VLOOKUP($A130,'Pre-Assessment Estimator'!$A$10:$Z$228,P$2,FALSE)</f>
        <v>N/A</v>
      </c>
      <c r="Q130" s="577" t="str">
        <f>IF(VLOOKUP($A130,'Pre-Assessment Estimator'!$A$10:$Z$228,Q$2,FALSE)=0,"",VLOOKUP($A130,'Pre-Assessment Estimator'!$A$10:$Z$228,Q$2,FALSE))</f>
        <v/>
      </c>
      <c r="R130" s="577" t="str">
        <f>IF(VLOOKUP($A130,'Pre-Assessment Estimator'!$A$10:$Z$228,R$2,FALSE)=0,"",VLOOKUP($A130,'Pre-Assessment Estimator'!$A$10:$Z$228,R$2,FALSE))</f>
        <v/>
      </c>
      <c r="S130" s="578" t="str">
        <f>IF(VLOOKUP($A130,'Pre-Assessment Estimator'!$A$10:$Z$228,S$2,FALSE)=0,"",VLOOKUP($A130,'Pre-Assessment Estimator'!$A$10:$Z$228,S$2,FALSE))</f>
        <v/>
      </c>
      <c r="T130" s="581"/>
      <c r="U130" s="580" t="str">
        <f>IF(VLOOKUP($A130,'Pre-Assessment Estimator'!$A$10:$Z$228,U$2,FALSE)=0,"",VLOOKUP($A130,'Pre-Assessment Estimator'!$A$10:$Z$228,U$2,FALSE))</f>
        <v/>
      </c>
      <c r="V130" s="575">
        <f>VLOOKUP($A130,'Pre-Assessment Estimator'!$A$10:$Z$228,V$2,FALSE)</f>
        <v>0</v>
      </c>
      <c r="W130" s="574" t="str">
        <f>VLOOKUP($A130,'Pre-Assessment Estimator'!$A$10:$Z$228,W$2,FALSE)</f>
        <v>N/A</v>
      </c>
      <c r="X130" s="577" t="str">
        <f>IF(VLOOKUP($A130,'Pre-Assessment Estimator'!$A$10:$Z$228,X$2,FALSE)=0,"",VLOOKUP($A130,'Pre-Assessment Estimator'!$A$10:$Z$228,X$2,FALSE))</f>
        <v/>
      </c>
      <c r="Y130" s="577" t="str">
        <f>IF(VLOOKUP($A130,'Pre-Assessment Estimator'!$A$10:$Z$228,Y$2,FALSE)=0,"",VLOOKUP($A130,'Pre-Assessment Estimator'!$A$10:$Z$228,Y$2,FALSE))</f>
        <v/>
      </c>
      <c r="Z130" s="370" t="str">
        <f>IF(VLOOKUP($A130,'Pre-Assessment Estimator'!$A$10:$Z$228,Z$2,FALSE)=0,"",VLOOKUP($A130,'Pre-Assessment Estimator'!$A$10:$Z$228,Z$2,FALSE))</f>
        <v/>
      </c>
      <c r="AA130" s="696">
        <v>118</v>
      </c>
      <c r="AB130" s="577"/>
      <c r="AF130" s="386">
        <f t="shared" si="2"/>
        <v>1</v>
      </c>
    </row>
    <row r="131" spans="1:32" x14ac:dyDescent="0.25">
      <c r="A131" s="823">
        <v>122</v>
      </c>
      <c r="B131" s="1234" t="s">
        <v>67</v>
      </c>
      <c r="C131" s="1234"/>
      <c r="D131" s="1257" t="str">
        <f>VLOOKUP($A131,'Pre-Assessment Estimator'!$A$10:$Z$228,D$2,FALSE)</f>
        <v>Mat 03</v>
      </c>
      <c r="E131" s="1258" t="str">
        <f>VLOOKUP($A131,'Pre-Assessment Estimator'!$A$10:$Z$228,E$2,FALSE)</f>
        <v>Responsible sourcing of relevant materials</v>
      </c>
      <c r="F131" s="574">
        <f>VLOOKUP($A131,'Pre-Assessment Estimator'!$A$10:$Z$228,F$2,FALSE)</f>
        <v>2</v>
      </c>
      <c r="G131" s="580" t="str">
        <f>IF(VLOOKUP($A131,'Pre-Assessment Estimator'!$A$10:$Z$228,G$2,FALSE)=0,"",VLOOKUP($A131,'Pre-Assessment Estimator'!$A$10:$Z$228,G$2,FALSE))</f>
        <v/>
      </c>
      <c r="H131" s="1220">
        <f>VLOOKUP($A131,'Pre-Assessment Estimator'!$A$10:$Z$228,H$2,FALSE)</f>
        <v>0</v>
      </c>
      <c r="I131" s="576" t="str">
        <f>VLOOKUP($A131,'Pre-Assessment Estimator'!$A$10:$Z$228,I$2,FALSE)</f>
        <v>N/A</v>
      </c>
      <c r="J131" s="577" t="str">
        <f>IF(VLOOKUP($A131,'Pre-Assessment Estimator'!$A$10:$Z$228,J$2,FALSE)=0,"",VLOOKUP($A131,'Pre-Assessment Estimator'!$A$10:$Z$228,J$2,FALSE))</f>
        <v/>
      </c>
      <c r="K131" s="577" t="str">
        <f>IF(VLOOKUP($A131,'Pre-Assessment Estimator'!$A$10:$Z$228,K$2,FALSE)=0,"",VLOOKUP($A131,'Pre-Assessment Estimator'!$A$10:$Z$228,K$2,FALSE))</f>
        <v/>
      </c>
      <c r="L131" s="578" t="str">
        <f>IF(VLOOKUP($A131,'Pre-Assessment Estimator'!$A$10:$Z$228,L$2,FALSE)=0,"",VLOOKUP($A131,'Pre-Assessment Estimator'!$A$10:$Z$228,L$2,FALSE))</f>
        <v/>
      </c>
      <c r="M131" s="579"/>
      <c r="N131" s="580" t="str">
        <f>IF(VLOOKUP($A131,'Pre-Assessment Estimator'!$A$10:$Z$228,N$2,FALSE)=0,"",VLOOKUP($A131,'Pre-Assessment Estimator'!$A$10:$Z$228,N$2,FALSE))</f>
        <v/>
      </c>
      <c r="O131" s="575">
        <f>VLOOKUP($A131,'Pre-Assessment Estimator'!$A$10:$Z$228,O$2,FALSE)</f>
        <v>0</v>
      </c>
      <c r="P131" s="574" t="str">
        <f>VLOOKUP($A131,'Pre-Assessment Estimator'!$A$10:$Z$228,P$2,FALSE)</f>
        <v>N/A</v>
      </c>
      <c r="Q131" s="577" t="str">
        <f>IF(VLOOKUP($A131,'Pre-Assessment Estimator'!$A$10:$Z$228,Q$2,FALSE)=0,"",VLOOKUP($A131,'Pre-Assessment Estimator'!$A$10:$Z$228,Q$2,FALSE))</f>
        <v/>
      </c>
      <c r="R131" s="577" t="str">
        <f>IF(VLOOKUP($A131,'Pre-Assessment Estimator'!$A$10:$Z$228,R$2,FALSE)=0,"",VLOOKUP($A131,'Pre-Assessment Estimator'!$A$10:$Z$228,R$2,FALSE))</f>
        <v/>
      </c>
      <c r="S131" s="578" t="str">
        <f>IF(VLOOKUP($A131,'Pre-Assessment Estimator'!$A$10:$Z$228,S$2,FALSE)=0,"",VLOOKUP($A131,'Pre-Assessment Estimator'!$A$10:$Z$228,S$2,FALSE))</f>
        <v/>
      </c>
      <c r="T131" s="581"/>
      <c r="U131" s="580" t="str">
        <f>IF(VLOOKUP($A131,'Pre-Assessment Estimator'!$A$10:$Z$228,U$2,FALSE)=0,"",VLOOKUP($A131,'Pre-Assessment Estimator'!$A$10:$Z$228,U$2,FALSE))</f>
        <v/>
      </c>
      <c r="V131" s="575">
        <f>VLOOKUP($A131,'Pre-Assessment Estimator'!$A$10:$Z$228,V$2,FALSE)</f>
        <v>0</v>
      </c>
      <c r="W131" s="574" t="str">
        <f>VLOOKUP($A131,'Pre-Assessment Estimator'!$A$10:$Z$228,W$2,FALSE)</f>
        <v>N/A</v>
      </c>
      <c r="X131" s="577" t="str">
        <f>IF(VLOOKUP($A131,'Pre-Assessment Estimator'!$A$10:$Z$228,X$2,FALSE)=0,"",VLOOKUP($A131,'Pre-Assessment Estimator'!$A$10:$Z$228,X$2,FALSE))</f>
        <v/>
      </c>
      <c r="Y131" s="577" t="str">
        <f>IF(VLOOKUP($A131,'Pre-Assessment Estimator'!$A$10:$Z$228,Y$2,FALSE)=0,"",VLOOKUP($A131,'Pre-Assessment Estimator'!$A$10:$Z$228,Y$2,FALSE))</f>
        <v/>
      </c>
      <c r="Z131" s="370" t="str">
        <f>IF(VLOOKUP($A131,'Pre-Assessment Estimator'!$A$10:$Z$228,Z$2,FALSE)=0,"",VLOOKUP($A131,'Pre-Assessment Estimator'!$A$10:$Z$228,Z$2,FALSE))</f>
        <v/>
      </c>
      <c r="AA131" s="696">
        <v>119</v>
      </c>
      <c r="AB131" s="577"/>
      <c r="AF131" s="386">
        <f t="shared" si="2"/>
        <v>1</v>
      </c>
    </row>
    <row r="132" spans="1:32" x14ac:dyDescent="0.25">
      <c r="A132" s="823">
        <v>123</v>
      </c>
      <c r="B132" s="1234" t="s">
        <v>67</v>
      </c>
      <c r="C132" s="1234"/>
      <c r="D132" s="1256" t="str">
        <f>VLOOKUP($A132,'Pre-Assessment Estimator'!$A$10:$Z$228,D$2,FALSE)</f>
        <v>Mat 05</v>
      </c>
      <c r="E132" s="1256" t="str">
        <f>VLOOKUP($A132,'Pre-Assessment Estimator'!$A$10:$Z$228,E$2,FALSE)</f>
        <v>Mat 05 Designing for durability and climate adaption</v>
      </c>
      <c r="F132" s="574">
        <f>VLOOKUP($A132,'Pre-Assessment Estimator'!$A$10:$Z$228,F$2,FALSE)</f>
        <v>4</v>
      </c>
      <c r="G132" s="580" t="str">
        <f>IF(VLOOKUP($A132,'Pre-Assessment Estimator'!$A$10:$Z$228,G$2,FALSE)=0,"",VLOOKUP($A132,'Pre-Assessment Estimator'!$A$10:$Z$228,G$2,FALSE))</f>
        <v/>
      </c>
      <c r="H132" s="1220" t="str">
        <f>VLOOKUP($A132,'Pre-Assessment Estimator'!$A$10:$Z$228,H$2,FALSE)</f>
        <v>0 c. 0 %</v>
      </c>
      <c r="I132" s="576" t="str">
        <f>VLOOKUP($A132,'Pre-Assessment Estimator'!$A$10:$Z$228,I$2,FALSE)</f>
        <v>N/A</v>
      </c>
      <c r="J132" s="577" t="str">
        <f>IF(VLOOKUP($A132,'Pre-Assessment Estimator'!$A$10:$Z$228,J$2,FALSE)=0,"",VLOOKUP($A132,'Pre-Assessment Estimator'!$A$10:$Z$228,J$2,FALSE))</f>
        <v/>
      </c>
      <c r="K132" s="577" t="str">
        <f>IF(VLOOKUP($A132,'Pre-Assessment Estimator'!$A$10:$Z$228,K$2,FALSE)=0,"",VLOOKUP($A132,'Pre-Assessment Estimator'!$A$10:$Z$228,K$2,FALSE))</f>
        <v/>
      </c>
      <c r="L132" s="578" t="str">
        <f>IF(VLOOKUP($A132,'Pre-Assessment Estimator'!$A$10:$Z$228,L$2,FALSE)=0,"",VLOOKUP($A132,'Pre-Assessment Estimator'!$A$10:$Z$228,L$2,FALSE))</f>
        <v/>
      </c>
      <c r="M132" s="579"/>
      <c r="N132" s="580" t="str">
        <f>IF(VLOOKUP($A132,'Pre-Assessment Estimator'!$A$10:$Z$228,N$2,FALSE)=0,"",VLOOKUP($A132,'Pre-Assessment Estimator'!$A$10:$Z$228,N$2,FALSE))</f>
        <v/>
      </c>
      <c r="O132" s="575" t="str">
        <f>VLOOKUP($A132,'Pre-Assessment Estimator'!$A$10:$Z$228,O$2,FALSE)</f>
        <v>0 c. 0 %</v>
      </c>
      <c r="P132" s="574" t="str">
        <f>VLOOKUP($A132,'Pre-Assessment Estimator'!$A$10:$Z$228,P$2,FALSE)</f>
        <v>N/A</v>
      </c>
      <c r="Q132" s="577" t="str">
        <f>IF(VLOOKUP($A132,'Pre-Assessment Estimator'!$A$10:$Z$228,Q$2,FALSE)=0,"",VLOOKUP($A132,'Pre-Assessment Estimator'!$A$10:$Z$228,Q$2,FALSE))</f>
        <v/>
      </c>
      <c r="R132" s="577" t="str">
        <f>IF(VLOOKUP($A132,'Pre-Assessment Estimator'!$A$10:$Z$228,R$2,FALSE)=0,"",VLOOKUP($A132,'Pre-Assessment Estimator'!$A$10:$Z$228,R$2,FALSE))</f>
        <v/>
      </c>
      <c r="S132" s="578" t="str">
        <f>IF(VLOOKUP($A132,'Pre-Assessment Estimator'!$A$10:$Z$228,S$2,FALSE)=0,"",VLOOKUP($A132,'Pre-Assessment Estimator'!$A$10:$Z$228,S$2,FALSE))</f>
        <v/>
      </c>
      <c r="T132" s="581"/>
      <c r="U132" s="580" t="str">
        <f>IF(VLOOKUP($A132,'Pre-Assessment Estimator'!$A$10:$Z$228,U$2,FALSE)=0,"",VLOOKUP($A132,'Pre-Assessment Estimator'!$A$10:$Z$228,U$2,FALSE))</f>
        <v/>
      </c>
      <c r="V132" s="575" t="str">
        <f>VLOOKUP($A132,'Pre-Assessment Estimator'!$A$10:$Z$228,V$2,FALSE)</f>
        <v>0 c. 0 %</v>
      </c>
      <c r="W132" s="574" t="str">
        <f>VLOOKUP($A132,'Pre-Assessment Estimator'!$A$10:$Z$228,W$2,FALSE)</f>
        <v>N/A</v>
      </c>
      <c r="X132" s="577" t="str">
        <f>IF(VLOOKUP($A132,'Pre-Assessment Estimator'!$A$10:$Z$228,X$2,FALSE)=0,"",VLOOKUP($A132,'Pre-Assessment Estimator'!$A$10:$Z$228,X$2,FALSE))</f>
        <v/>
      </c>
      <c r="Y132" s="577" t="str">
        <f>IF(VLOOKUP($A132,'Pre-Assessment Estimator'!$A$10:$Z$228,Y$2,FALSE)=0,"",VLOOKUP($A132,'Pre-Assessment Estimator'!$A$10:$Z$228,Y$2,FALSE))</f>
        <v/>
      </c>
      <c r="Z132" s="370" t="str">
        <f>IF(VLOOKUP($A132,'Pre-Assessment Estimator'!$A$10:$Z$228,Z$2,FALSE)=0,"",VLOOKUP($A132,'Pre-Assessment Estimator'!$A$10:$Z$228,Z$2,FALSE))</f>
        <v/>
      </c>
      <c r="AA132" s="696">
        <v>120</v>
      </c>
      <c r="AB132" s="577"/>
      <c r="AF132" s="386">
        <f t="shared" si="2"/>
        <v>1</v>
      </c>
    </row>
    <row r="133" spans="1:32" x14ac:dyDescent="0.25">
      <c r="A133" s="823">
        <v>124</v>
      </c>
      <c r="B133" s="1234" t="s">
        <v>67</v>
      </c>
      <c r="C133" s="1234"/>
      <c r="D133" s="1257" t="str">
        <f>VLOOKUP($A133,'Pre-Assessment Estimator'!$A$10:$Z$228,D$2,FALSE)</f>
        <v>Mat 05</v>
      </c>
      <c r="E133" s="1258" t="str">
        <f>VLOOKUP($A133,'Pre-Assessment Estimator'!$A$10:$Z$228,E$2,FALSE)</f>
        <v>Pre-requisite: risk analysis</v>
      </c>
      <c r="F133" s="574" t="str">
        <f>VLOOKUP($A133,'Pre-Assessment Estimator'!$A$10:$Z$228,F$2,FALSE)</f>
        <v>Yes/No</v>
      </c>
      <c r="G133" s="580" t="str">
        <f>IF(VLOOKUP($A133,'Pre-Assessment Estimator'!$A$10:$Z$228,G$2,FALSE)=0,"",VLOOKUP($A133,'Pre-Assessment Estimator'!$A$10:$Z$228,G$2,FALSE))</f>
        <v/>
      </c>
      <c r="H133" s="1220" t="str">
        <f>VLOOKUP($A133,'Pre-Assessment Estimator'!$A$10:$Z$228,H$2,FALSE)</f>
        <v>-</v>
      </c>
      <c r="I133" s="576" t="str">
        <f>VLOOKUP($A133,'Pre-Assessment Estimator'!$A$10:$Z$228,I$2,FALSE)</f>
        <v>N/A</v>
      </c>
      <c r="J133" s="577" t="str">
        <f>IF(VLOOKUP($A133,'Pre-Assessment Estimator'!$A$10:$Z$228,J$2,FALSE)=0,"",VLOOKUP($A133,'Pre-Assessment Estimator'!$A$10:$Z$228,J$2,FALSE))</f>
        <v/>
      </c>
      <c r="K133" s="577" t="str">
        <f>IF(VLOOKUP($A133,'Pre-Assessment Estimator'!$A$10:$Z$228,K$2,FALSE)=0,"",VLOOKUP($A133,'Pre-Assessment Estimator'!$A$10:$Z$228,K$2,FALSE))</f>
        <v/>
      </c>
      <c r="L133" s="578" t="str">
        <f>IF(VLOOKUP($A133,'Pre-Assessment Estimator'!$A$10:$Z$228,L$2,FALSE)=0,"",VLOOKUP($A133,'Pre-Assessment Estimator'!$A$10:$Z$228,L$2,FALSE))</f>
        <v/>
      </c>
      <c r="M133" s="579"/>
      <c r="N133" s="580" t="str">
        <f>IF(VLOOKUP($A133,'Pre-Assessment Estimator'!$A$10:$Z$228,N$2,FALSE)=0,"",VLOOKUP($A133,'Pre-Assessment Estimator'!$A$10:$Z$228,N$2,FALSE))</f>
        <v/>
      </c>
      <c r="O133" s="575" t="str">
        <f>VLOOKUP($A133,'Pre-Assessment Estimator'!$A$10:$Z$228,O$2,FALSE)</f>
        <v>-</v>
      </c>
      <c r="P133" s="574" t="str">
        <f>VLOOKUP($A133,'Pre-Assessment Estimator'!$A$10:$Z$228,P$2,FALSE)</f>
        <v>N/A</v>
      </c>
      <c r="Q133" s="577" t="str">
        <f>IF(VLOOKUP($A133,'Pre-Assessment Estimator'!$A$10:$Z$228,Q$2,FALSE)=0,"",VLOOKUP($A133,'Pre-Assessment Estimator'!$A$10:$Z$228,Q$2,FALSE))</f>
        <v/>
      </c>
      <c r="R133" s="577" t="str">
        <f>IF(VLOOKUP($A133,'Pre-Assessment Estimator'!$A$10:$Z$228,R$2,FALSE)=0,"",VLOOKUP($A133,'Pre-Assessment Estimator'!$A$10:$Z$228,R$2,FALSE))</f>
        <v/>
      </c>
      <c r="S133" s="578" t="str">
        <f>IF(VLOOKUP($A133,'Pre-Assessment Estimator'!$A$10:$Z$228,S$2,FALSE)=0,"",VLOOKUP($A133,'Pre-Assessment Estimator'!$A$10:$Z$228,S$2,FALSE))</f>
        <v/>
      </c>
      <c r="T133" s="581"/>
      <c r="U133" s="580" t="str">
        <f>IF(VLOOKUP($A133,'Pre-Assessment Estimator'!$A$10:$Z$228,U$2,FALSE)=0,"",VLOOKUP($A133,'Pre-Assessment Estimator'!$A$10:$Z$228,U$2,FALSE))</f>
        <v/>
      </c>
      <c r="V133" s="575" t="str">
        <f>VLOOKUP($A133,'Pre-Assessment Estimator'!$A$10:$Z$228,V$2,FALSE)</f>
        <v>-</v>
      </c>
      <c r="W133" s="574" t="str">
        <f>VLOOKUP($A133,'Pre-Assessment Estimator'!$A$10:$Z$228,W$2,FALSE)</f>
        <v>N/A</v>
      </c>
      <c r="X133" s="577" t="str">
        <f>IF(VLOOKUP($A133,'Pre-Assessment Estimator'!$A$10:$Z$228,X$2,FALSE)=0,"",VLOOKUP($A133,'Pre-Assessment Estimator'!$A$10:$Z$228,X$2,FALSE))</f>
        <v/>
      </c>
      <c r="Y133" s="577" t="str">
        <f>IF(VLOOKUP($A133,'Pre-Assessment Estimator'!$A$10:$Z$228,Y$2,FALSE)=0,"",VLOOKUP($A133,'Pre-Assessment Estimator'!$A$10:$Z$228,Y$2,FALSE))</f>
        <v/>
      </c>
      <c r="Z133" s="370" t="str">
        <f>IF(VLOOKUP($A133,'Pre-Assessment Estimator'!$A$10:$Z$228,Z$2,FALSE)=0,"",VLOOKUP($A133,'Pre-Assessment Estimator'!$A$10:$Z$228,Z$2,FALSE))</f>
        <v/>
      </c>
      <c r="AA133" s="696">
        <v>121</v>
      </c>
      <c r="AB133" s="577"/>
      <c r="AF133" s="386">
        <f t="shared" si="2"/>
        <v>1</v>
      </c>
    </row>
    <row r="134" spans="1:32" x14ac:dyDescent="0.25">
      <c r="A134" s="823">
        <v>125</v>
      </c>
      <c r="B134" s="1234" t="s">
        <v>67</v>
      </c>
      <c r="C134" s="1234"/>
      <c r="D134" s="1257" t="str">
        <f>VLOOKUP($A134,'Pre-Assessment Estimator'!$A$10:$Z$228,D$2,FALSE)</f>
        <v>Mat 05</v>
      </c>
      <c r="E134" s="1258" t="str">
        <f>VLOOKUP($A134,'Pre-Assessment Estimator'!$A$10:$Z$228,E$2,FALSE)</f>
        <v>Protect vulnerable parts of the building from damage</v>
      </c>
      <c r="F134" s="574">
        <f>VLOOKUP($A134,'Pre-Assessment Estimator'!$A$10:$Z$228,F$2,FALSE)</f>
        <v>1</v>
      </c>
      <c r="G134" s="580" t="str">
        <f>IF(VLOOKUP($A134,'Pre-Assessment Estimator'!$A$10:$Z$228,G$2,FALSE)=0,"",VLOOKUP($A134,'Pre-Assessment Estimator'!$A$10:$Z$228,G$2,FALSE))</f>
        <v/>
      </c>
      <c r="H134" s="1220">
        <f>VLOOKUP($A134,'Pre-Assessment Estimator'!$A$10:$Z$228,H$2,FALSE)</f>
        <v>0</v>
      </c>
      <c r="I134" s="576" t="str">
        <f>VLOOKUP($A134,'Pre-Assessment Estimator'!$A$10:$Z$228,I$2,FALSE)</f>
        <v>N/A</v>
      </c>
      <c r="J134" s="577" t="str">
        <f>IF(VLOOKUP($A134,'Pre-Assessment Estimator'!$A$10:$Z$228,J$2,FALSE)=0,"",VLOOKUP($A134,'Pre-Assessment Estimator'!$A$10:$Z$228,J$2,FALSE))</f>
        <v/>
      </c>
      <c r="K134" s="577" t="str">
        <f>IF(VLOOKUP($A134,'Pre-Assessment Estimator'!$A$10:$Z$228,K$2,FALSE)=0,"",VLOOKUP($A134,'Pre-Assessment Estimator'!$A$10:$Z$228,K$2,FALSE))</f>
        <v/>
      </c>
      <c r="L134" s="578" t="str">
        <f>IF(VLOOKUP($A134,'Pre-Assessment Estimator'!$A$10:$Z$228,L$2,FALSE)=0,"",VLOOKUP($A134,'Pre-Assessment Estimator'!$A$10:$Z$228,L$2,FALSE))</f>
        <v/>
      </c>
      <c r="M134" s="579"/>
      <c r="N134" s="580" t="str">
        <f>IF(VLOOKUP($A134,'Pre-Assessment Estimator'!$A$10:$Z$228,N$2,FALSE)=0,"",VLOOKUP($A134,'Pre-Assessment Estimator'!$A$10:$Z$228,N$2,FALSE))</f>
        <v/>
      </c>
      <c r="O134" s="575">
        <f>VLOOKUP($A134,'Pre-Assessment Estimator'!$A$10:$Z$228,O$2,FALSE)</f>
        <v>0</v>
      </c>
      <c r="P134" s="574" t="str">
        <f>VLOOKUP($A134,'Pre-Assessment Estimator'!$A$10:$Z$228,P$2,FALSE)</f>
        <v>N/A</v>
      </c>
      <c r="Q134" s="577" t="str">
        <f>IF(VLOOKUP($A134,'Pre-Assessment Estimator'!$A$10:$Z$228,Q$2,FALSE)=0,"",VLOOKUP($A134,'Pre-Assessment Estimator'!$A$10:$Z$228,Q$2,FALSE))</f>
        <v/>
      </c>
      <c r="R134" s="577" t="str">
        <f>IF(VLOOKUP($A134,'Pre-Assessment Estimator'!$A$10:$Z$228,R$2,FALSE)=0,"",VLOOKUP($A134,'Pre-Assessment Estimator'!$A$10:$Z$228,R$2,FALSE))</f>
        <v/>
      </c>
      <c r="S134" s="578" t="str">
        <f>IF(VLOOKUP($A134,'Pre-Assessment Estimator'!$A$10:$Z$228,S$2,FALSE)=0,"",VLOOKUP($A134,'Pre-Assessment Estimator'!$A$10:$Z$228,S$2,FALSE))</f>
        <v/>
      </c>
      <c r="T134" s="581"/>
      <c r="U134" s="580" t="str">
        <f>IF(VLOOKUP($A134,'Pre-Assessment Estimator'!$A$10:$Z$228,U$2,FALSE)=0,"",VLOOKUP($A134,'Pre-Assessment Estimator'!$A$10:$Z$228,U$2,FALSE))</f>
        <v/>
      </c>
      <c r="V134" s="575">
        <f>VLOOKUP($A134,'Pre-Assessment Estimator'!$A$10:$Z$228,V$2,FALSE)</f>
        <v>0</v>
      </c>
      <c r="W134" s="574" t="str">
        <f>VLOOKUP($A134,'Pre-Assessment Estimator'!$A$10:$Z$228,W$2,FALSE)</f>
        <v>N/A</v>
      </c>
      <c r="X134" s="577" t="str">
        <f>IF(VLOOKUP($A134,'Pre-Assessment Estimator'!$A$10:$Z$228,X$2,FALSE)=0,"",VLOOKUP($A134,'Pre-Assessment Estimator'!$A$10:$Z$228,X$2,FALSE))</f>
        <v/>
      </c>
      <c r="Y134" s="577" t="str">
        <f>IF(VLOOKUP($A134,'Pre-Assessment Estimator'!$A$10:$Z$228,Y$2,FALSE)=0,"",VLOOKUP($A134,'Pre-Assessment Estimator'!$A$10:$Z$228,Y$2,FALSE))</f>
        <v/>
      </c>
      <c r="Z134" s="370" t="str">
        <f>IF(VLOOKUP($A134,'Pre-Assessment Estimator'!$A$10:$Z$228,Z$2,FALSE)=0,"",VLOOKUP($A134,'Pre-Assessment Estimator'!$A$10:$Z$228,Z$2,FALSE))</f>
        <v/>
      </c>
      <c r="AA134" s="696">
        <v>122</v>
      </c>
      <c r="AB134" s="577"/>
      <c r="AF134" s="386">
        <f t="shared" si="2"/>
        <v>1</v>
      </c>
    </row>
    <row r="135" spans="1:32" x14ac:dyDescent="0.25">
      <c r="A135" s="823">
        <v>126</v>
      </c>
      <c r="B135" s="1234" t="s">
        <v>67</v>
      </c>
      <c r="C135" s="1234"/>
      <c r="D135" s="1257" t="str">
        <f>VLOOKUP($A135,'Pre-Assessment Estimator'!$A$10:$Z$228,D$2,FALSE)</f>
        <v>Mat 05</v>
      </c>
      <c r="E135" s="1258" t="str">
        <f>VLOOKUP($A135,'Pre-Assessment Estimator'!$A$10:$Z$228,E$2,FALSE)</f>
        <v xml:space="preserve">Protecting exposed parts of the building from material degradation </v>
      </c>
      <c r="F135" s="574">
        <f>VLOOKUP($A135,'Pre-Assessment Estimator'!$A$10:$Z$228,F$2,FALSE)</f>
        <v>1</v>
      </c>
      <c r="G135" s="580" t="str">
        <f>IF(VLOOKUP($A135,'Pre-Assessment Estimator'!$A$10:$Z$228,G$2,FALSE)=0,"",VLOOKUP($A135,'Pre-Assessment Estimator'!$A$10:$Z$228,G$2,FALSE))</f>
        <v/>
      </c>
      <c r="H135" s="1220">
        <f>VLOOKUP($A135,'Pre-Assessment Estimator'!$A$10:$Z$228,H$2,FALSE)</f>
        <v>0</v>
      </c>
      <c r="I135" s="576" t="str">
        <f>VLOOKUP($A135,'Pre-Assessment Estimator'!$A$10:$Z$228,I$2,FALSE)</f>
        <v>N/A</v>
      </c>
      <c r="J135" s="577" t="str">
        <f>IF(VLOOKUP($A135,'Pre-Assessment Estimator'!$A$10:$Z$228,J$2,FALSE)=0,"",VLOOKUP($A135,'Pre-Assessment Estimator'!$A$10:$Z$228,J$2,FALSE))</f>
        <v/>
      </c>
      <c r="K135" s="577" t="str">
        <f>IF(VLOOKUP($A135,'Pre-Assessment Estimator'!$A$10:$Z$228,K$2,FALSE)=0,"",VLOOKUP($A135,'Pre-Assessment Estimator'!$A$10:$Z$228,K$2,FALSE))</f>
        <v/>
      </c>
      <c r="L135" s="578" t="str">
        <f>IF(VLOOKUP($A135,'Pre-Assessment Estimator'!$A$10:$Z$228,L$2,FALSE)=0,"",VLOOKUP($A135,'Pre-Assessment Estimator'!$A$10:$Z$228,L$2,FALSE))</f>
        <v/>
      </c>
      <c r="M135" s="579"/>
      <c r="N135" s="580" t="str">
        <f>IF(VLOOKUP($A135,'Pre-Assessment Estimator'!$A$10:$Z$228,N$2,FALSE)=0,"",VLOOKUP($A135,'Pre-Assessment Estimator'!$A$10:$Z$228,N$2,FALSE))</f>
        <v/>
      </c>
      <c r="O135" s="575">
        <f>VLOOKUP($A135,'Pre-Assessment Estimator'!$A$10:$Z$228,O$2,FALSE)</f>
        <v>0</v>
      </c>
      <c r="P135" s="574" t="str">
        <f>VLOOKUP($A135,'Pre-Assessment Estimator'!$A$10:$Z$228,P$2,FALSE)</f>
        <v>N/A</v>
      </c>
      <c r="Q135" s="577" t="str">
        <f>IF(VLOOKUP($A135,'Pre-Assessment Estimator'!$A$10:$Z$228,Q$2,FALSE)=0,"",VLOOKUP($A135,'Pre-Assessment Estimator'!$A$10:$Z$228,Q$2,FALSE))</f>
        <v/>
      </c>
      <c r="R135" s="577" t="str">
        <f>IF(VLOOKUP($A135,'Pre-Assessment Estimator'!$A$10:$Z$228,R$2,FALSE)=0,"",VLOOKUP($A135,'Pre-Assessment Estimator'!$A$10:$Z$228,R$2,FALSE))</f>
        <v/>
      </c>
      <c r="S135" s="578" t="str">
        <f>IF(VLOOKUP($A135,'Pre-Assessment Estimator'!$A$10:$Z$228,S$2,FALSE)=0,"",VLOOKUP($A135,'Pre-Assessment Estimator'!$A$10:$Z$228,S$2,FALSE))</f>
        <v/>
      </c>
      <c r="T135" s="581"/>
      <c r="U135" s="580" t="str">
        <f>IF(VLOOKUP($A135,'Pre-Assessment Estimator'!$A$10:$Z$228,U$2,FALSE)=0,"",VLOOKUP($A135,'Pre-Assessment Estimator'!$A$10:$Z$228,U$2,FALSE))</f>
        <v/>
      </c>
      <c r="V135" s="575">
        <f>VLOOKUP($A135,'Pre-Assessment Estimator'!$A$10:$Z$228,V$2,FALSE)</f>
        <v>0</v>
      </c>
      <c r="W135" s="574" t="str">
        <f>VLOOKUP($A135,'Pre-Assessment Estimator'!$A$10:$Z$228,W$2,FALSE)</f>
        <v>N/A</v>
      </c>
      <c r="X135" s="577" t="str">
        <f>IF(VLOOKUP($A135,'Pre-Assessment Estimator'!$A$10:$Z$228,X$2,FALSE)=0,"",VLOOKUP($A135,'Pre-Assessment Estimator'!$A$10:$Z$228,X$2,FALSE))</f>
        <v/>
      </c>
      <c r="Y135" s="577" t="str">
        <f>IF(VLOOKUP($A135,'Pre-Assessment Estimator'!$A$10:$Z$228,Y$2,FALSE)=0,"",VLOOKUP($A135,'Pre-Assessment Estimator'!$A$10:$Z$228,Y$2,FALSE))</f>
        <v/>
      </c>
      <c r="Z135" s="370" t="str">
        <f>IF(VLOOKUP($A135,'Pre-Assessment Estimator'!$A$10:$Z$228,Z$2,FALSE)=0,"",VLOOKUP($A135,'Pre-Assessment Estimator'!$A$10:$Z$228,Z$2,FALSE))</f>
        <v/>
      </c>
      <c r="AA135" s="696">
        <v>123</v>
      </c>
      <c r="AB135" s="577"/>
      <c r="AF135" s="386">
        <f t="shared" si="2"/>
        <v>1</v>
      </c>
    </row>
    <row r="136" spans="1:32" x14ac:dyDescent="0.25">
      <c r="A136" s="823">
        <v>127</v>
      </c>
      <c r="B136" s="1234" t="s">
        <v>67</v>
      </c>
      <c r="C136" s="1234"/>
      <c r="D136" s="1257" t="str">
        <f>VLOOKUP($A136,'Pre-Assessment Estimator'!$A$10:$Z$228,D$2,FALSE)</f>
        <v>Mat 05</v>
      </c>
      <c r="E136" s="1258" t="str">
        <f>VLOOKUP($A136,'Pre-Assessment Estimator'!$A$10:$Z$228,E$2,FALSE)</f>
        <v>Control plan and moisture measurements</v>
      </c>
      <c r="F136" s="574">
        <f>VLOOKUP($A136,'Pre-Assessment Estimator'!$A$10:$Z$228,F$2,FALSE)</f>
        <v>1</v>
      </c>
      <c r="G136" s="580" t="str">
        <f>IF(VLOOKUP($A136,'Pre-Assessment Estimator'!$A$10:$Z$228,G$2,FALSE)=0,"",VLOOKUP($A136,'Pre-Assessment Estimator'!$A$10:$Z$228,G$2,FALSE))</f>
        <v/>
      </c>
      <c r="H136" s="1220">
        <f>VLOOKUP($A136,'Pre-Assessment Estimator'!$A$10:$Z$228,H$2,FALSE)</f>
        <v>0</v>
      </c>
      <c r="I136" s="576" t="str">
        <f>VLOOKUP($A136,'Pre-Assessment Estimator'!$A$10:$Z$228,I$2,FALSE)</f>
        <v>Very Good</v>
      </c>
      <c r="J136" s="577" t="str">
        <f>IF(VLOOKUP($A136,'Pre-Assessment Estimator'!$A$10:$Z$228,J$2,FALSE)=0,"",VLOOKUP($A136,'Pre-Assessment Estimator'!$A$10:$Z$228,J$2,FALSE))</f>
        <v/>
      </c>
      <c r="K136" s="577" t="str">
        <f>IF(VLOOKUP($A136,'Pre-Assessment Estimator'!$A$10:$Z$228,K$2,FALSE)=0,"",VLOOKUP($A136,'Pre-Assessment Estimator'!$A$10:$Z$228,K$2,FALSE))</f>
        <v/>
      </c>
      <c r="L136" s="578" t="str">
        <f>IF(VLOOKUP($A136,'Pre-Assessment Estimator'!$A$10:$Z$228,L$2,FALSE)=0,"",VLOOKUP($A136,'Pre-Assessment Estimator'!$A$10:$Z$228,L$2,FALSE))</f>
        <v/>
      </c>
      <c r="M136" s="579"/>
      <c r="N136" s="580" t="str">
        <f>IF(VLOOKUP($A136,'Pre-Assessment Estimator'!$A$10:$Z$228,N$2,FALSE)=0,"",VLOOKUP($A136,'Pre-Assessment Estimator'!$A$10:$Z$228,N$2,FALSE))</f>
        <v/>
      </c>
      <c r="O136" s="575">
        <f>VLOOKUP($A136,'Pre-Assessment Estimator'!$A$10:$Z$228,O$2,FALSE)</f>
        <v>0</v>
      </c>
      <c r="P136" s="574" t="str">
        <f>VLOOKUP($A136,'Pre-Assessment Estimator'!$A$10:$Z$228,P$2,FALSE)</f>
        <v>Very Good</v>
      </c>
      <c r="Q136" s="577" t="str">
        <f>IF(VLOOKUP($A136,'Pre-Assessment Estimator'!$A$10:$Z$228,Q$2,FALSE)=0,"",VLOOKUP($A136,'Pre-Assessment Estimator'!$A$10:$Z$228,Q$2,FALSE))</f>
        <v/>
      </c>
      <c r="R136" s="577" t="str">
        <f>IF(VLOOKUP($A136,'Pre-Assessment Estimator'!$A$10:$Z$228,R$2,FALSE)=0,"",VLOOKUP($A136,'Pre-Assessment Estimator'!$A$10:$Z$228,R$2,FALSE))</f>
        <v/>
      </c>
      <c r="S136" s="578" t="str">
        <f>IF(VLOOKUP($A136,'Pre-Assessment Estimator'!$A$10:$Z$228,S$2,FALSE)=0,"",VLOOKUP($A136,'Pre-Assessment Estimator'!$A$10:$Z$228,S$2,FALSE))</f>
        <v/>
      </c>
      <c r="T136" s="581"/>
      <c r="U136" s="580" t="str">
        <f>IF(VLOOKUP($A136,'Pre-Assessment Estimator'!$A$10:$Z$228,U$2,FALSE)=0,"",VLOOKUP($A136,'Pre-Assessment Estimator'!$A$10:$Z$228,U$2,FALSE))</f>
        <v/>
      </c>
      <c r="V136" s="575">
        <f>VLOOKUP($A136,'Pre-Assessment Estimator'!$A$10:$Z$228,V$2,FALSE)</f>
        <v>0</v>
      </c>
      <c r="W136" s="574" t="str">
        <f>VLOOKUP($A136,'Pre-Assessment Estimator'!$A$10:$Z$228,W$2,FALSE)</f>
        <v>Very Good</v>
      </c>
      <c r="X136" s="577" t="str">
        <f>IF(VLOOKUP($A136,'Pre-Assessment Estimator'!$A$10:$Z$228,X$2,FALSE)=0,"",VLOOKUP($A136,'Pre-Assessment Estimator'!$A$10:$Z$228,X$2,FALSE))</f>
        <v/>
      </c>
      <c r="Y136" s="577" t="str">
        <f>IF(VLOOKUP($A136,'Pre-Assessment Estimator'!$A$10:$Z$228,Y$2,FALSE)=0,"",VLOOKUP($A136,'Pre-Assessment Estimator'!$A$10:$Z$228,Y$2,FALSE))</f>
        <v/>
      </c>
      <c r="Z136" s="370" t="str">
        <f>IF(VLOOKUP($A136,'Pre-Assessment Estimator'!$A$10:$Z$228,Z$2,FALSE)=0,"",VLOOKUP($A136,'Pre-Assessment Estimator'!$A$10:$Z$228,Z$2,FALSE))</f>
        <v/>
      </c>
      <c r="AA136" s="696">
        <v>124</v>
      </c>
      <c r="AB136" s="577"/>
      <c r="AF136" s="386">
        <f t="shared" si="2"/>
        <v>1</v>
      </c>
    </row>
    <row r="137" spans="1:32" x14ac:dyDescent="0.25">
      <c r="A137" s="823">
        <v>128</v>
      </c>
      <c r="B137" s="1234" t="s">
        <v>67</v>
      </c>
      <c r="C137" s="1234"/>
      <c r="D137" s="1257" t="str">
        <f>VLOOKUP($A137,'Pre-Assessment Estimator'!$A$10:$Z$228,D$2,FALSE)</f>
        <v>Mat 05</v>
      </c>
      <c r="E137" s="1258" t="str">
        <f>VLOOKUP($A137,'Pre-Assessment Estimator'!$A$10:$Z$228,E$2,FALSE)</f>
        <v>Construction under cover</v>
      </c>
      <c r="F137" s="574">
        <f>VLOOKUP($A137,'Pre-Assessment Estimator'!$A$10:$Z$228,F$2,FALSE)</f>
        <v>1</v>
      </c>
      <c r="G137" s="580" t="str">
        <f>IF(VLOOKUP($A137,'Pre-Assessment Estimator'!$A$10:$Z$228,G$2,FALSE)=0,"",VLOOKUP($A137,'Pre-Assessment Estimator'!$A$10:$Z$228,G$2,FALSE))</f>
        <v/>
      </c>
      <c r="H137" s="1220">
        <f>VLOOKUP($A137,'Pre-Assessment Estimator'!$A$10:$Z$228,H$2,FALSE)</f>
        <v>0</v>
      </c>
      <c r="I137" s="576" t="str">
        <f>VLOOKUP($A137,'Pre-Assessment Estimator'!$A$10:$Z$228,I$2,FALSE)</f>
        <v>N/A</v>
      </c>
      <c r="J137" s="577" t="str">
        <f>IF(VLOOKUP($A137,'Pre-Assessment Estimator'!$A$10:$Z$228,J$2,FALSE)=0,"",VLOOKUP($A137,'Pre-Assessment Estimator'!$A$10:$Z$228,J$2,FALSE))</f>
        <v/>
      </c>
      <c r="K137" s="577" t="str">
        <f>IF(VLOOKUP($A137,'Pre-Assessment Estimator'!$A$10:$Z$228,K$2,FALSE)=0,"",VLOOKUP($A137,'Pre-Assessment Estimator'!$A$10:$Z$228,K$2,FALSE))</f>
        <v/>
      </c>
      <c r="L137" s="578" t="str">
        <f>IF(VLOOKUP($A137,'Pre-Assessment Estimator'!$A$10:$Z$228,L$2,FALSE)=0,"",VLOOKUP($A137,'Pre-Assessment Estimator'!$A$10:$Z$228,L$2,FALSE))</f>
        <v/>
      </c>
      <c r="M137" s="579"/>
      <c r="N137" s="580" t="str">
        <f>IF(VLOOKUP($A137,'Pre-Assessment Estimator'!$A$10:$Z$228,N$2,FALSE)=0,"",VLOOKUP($A137,'Pre-Assessment Estimator'!$A$10:$Z$228,N$2,FALSE))</f>
        <v/>
      </c>
      <c r="O137" s="575">
        <f>VLOOKUP($A137,'Pre-Assessment Estimator'!$A$10:$Z$228,O$2,FALSE)</f>
        <v>0</v>
      </c>
      <c r="P137" s="574" t="str">
        <f>VLOOKUP($A137,'Pre-Assessment Estimator'!$A$10:$Z$228,P$2,FALSE)</f>
        <v>N/A</v>
      </c>
      <c r="Q137" s="577" t="str">
        <f>IF(VLOOKUP($A137,'Pre-Assessment Estimator'!$A$10:$Z$228,Q$2,FALSE)=0,"",VLOOKUP($A137,'Pre-Assessment Estimator'!$A$10:$Z$228,Q$2,FALSE))</f>
        <v/>
      </c>
      <c r="R137" s="577" t="str">
        <f>IF(VLOOKUP($A137,'Pre-Assessment Estimator'!$A$10:$Z$228,R$2,FALSE)=0,"",VLOOKUP($A137,'Pre-Assessment Estimator'!$A$10:$Z$228,R$2,FALSE))</f>
        <v/>
      </c>
      <c r="S137" s="578" t="str">
        <f>IF(VLOOKUP($A137,'Pre-Assessment Estimator'!$A$10:$Z$228,S$2,FALSE)=0,"",VLOOKUP($A137,'Pre-Assessment Estimator'!$A$10:$Z$228,S$2,FALSE))</f>
        <v/>
      </c>
      <c r="T137" s="581"/>
      <c r="U137" s="580" t="str">
        <f>IF(VLOOKUP($A137,'Pre-Assessment Estimator'!$A$10:$Z$228,U$2,FALSE)=0,"",VLOOKUP($A137,'Pre-Assessment Estimator'!$A$10:$Z$228,U$2,FALSE))</f>
        <v/>
      </c>
      <c r="V137" s="575">
        <f>VLOOKUP($A137,'Pre-Assessment Estimator'!$A$10:$Z$228,V$2,FALSE)</f>
        <v>0</v>
      </c>
      <c r="W137" s="574" t="str">
        <f>VLOOKUP($A137,'Pre-Assessment Estimator'!$A$10:$Z$228,W$2,FALSE)</f>
        <v>N/A</v>
      </c>
      <c r="X137" s="577" t="str">
        <f>IF(VLOOKUP($A137,'Pre-Assessment Estimator'!$A$10:$Z$228,X$2,FALSE)=0,"",VLOOKUP($A137,'Pre-Assessment Estimator'!$A$10:$Z$228,X$2,FALSE))</f>
        <v/>
      </c>
      <c r="Y137" s="577" t="str">
        <f>IF(VLOOKUP($A137,'Pre-Assessment Estimator'!$A$10:$Z$228,Y$2,FALSE)=0,"",VLOOKUP($A137,'Pre-Assessment Estimator'!$A$10:$Z$228,Y$2,FALSE))</f>
        <v/>
      </c>
      <c r="Z137" s="370" t="str">
        <f>IF(VLOOKUP($A137,'Pre-Assessment Estimator'!$A$10:$Z$228,Z$2,FALSE)=0,"",VLOOKUP($A137,'Pre-Assessment Estimator'!$A$10:$Z$228,Z$2,FALSE))</f>
        <v/>
      </c>
      <c r="AA137" s="696">
        <v>125</v>
      </c>
      <c r="AB137" s="577"/>
      <c r="AF137" s="386">
        <f t="shared" si="2"/>
        <v>1</v>
      </c>
    </row>
    <row r="138" spans="1:32" x14ac:dyDescent="0.25">
      <c r="A138" s="823">
        <v>129</v>
      </c>
      <c r="B138" s="1234" t="s">
        <v>67</v>
      </c>
      <c r="C138" s="1234"/>
      <c r="D138" s="1256" t="str">
        <f>VLOOKUP($A138,'Pre-Assessment Estimator'!$A$10:$Z$228,D$2,FALSE)</f>
        <v>Mat 06</v>
      </c>
      <c r="E138" s="1256" t="str">
        <f>VLOOKUP($A138,'Pre-Assessment Estimator'!$A$10:$Z$228,E$2,FALSE)</f>
        <v>Mat 06 Material efficiency</v>
      </c>
      <c r="F138" s="574">
        <f>VLOOKUP($A138,'Pre-Assessment Estimator'!$A$10:$Z$228,F$2,FALSE)</f>
        <v>3</v>
      </c>
      <c r="G138" s="580" t="str">
        <f>IF(VLOOKUP($A138,'Pre-Assessment Estimator'!$A$10:$Z$228,G$2,FALSE)=0,"",VLOOKUP($A138,'Pre-Assessment Estimator'!$A$10:$Z$228,G$2,FALSE))</f>
        <v/>
      </c>
      <c r="H138" s="1220" t="str">
        <f>VLOOKUP($A138,'Pre-Assessment Estimator'!$A$10:$Z$228,H$2,FALSE)</f>
        <v>0 c. 0 %</v>
      </c>
      <c r="I138" s="576" t="str">
        <f>VLOOKUP($A138,'Pre-Assessment Estimator'!$A$10:$Z$228,I$2,FALSE)</f>
        <v>N/A</v>
      </c>
      <c r="J138" s="577" t="str">
        <f>IF(VLOOKUP($A138,'Pre-Assessment Estimator'!$A$10:$Z$228,J$2,FALSE)=0,"",VLOOKUP($A138,'Pre-Assessment Estimator'!$A$10:$Z$228,J$2,FALSE))</f>
        <v/>
      </c>
      <c r="K138" s="577" t="str">
        <f>IF(VLOOKUP($A138,'Pre-Assessment Estimator'!$A$10:$Z$228,K$2,FALSE)=0,"",VLOOKUP($A138,'Pre-Assessment Estimator'!$A$10:$Z$228,K$2,FALSE))</f>
        <v/>
      </c>
      <c r="L138" s="578" t="str">
        <f>IF(VLOOKUP($A138,'Pre-Assessment Estimator'!$A$10:$Z$228,L$2,FALSE)=0,"",VLOOKUP($A138,'Pre-Assessment Estimator'!$A$10:$Z$228,L$2,FALSE))</f>
        <v/>
      </c>
      <c r="M138" s="579"/>
      <c r="N138" s="580" t="str">
        <f>IF(VLOOKUP($A138,'Pre-Assessment Estimator'!$A$10:$Z$228,N$2,FALSE)=0,"",VLOOKUP($A138,'Pre-Assessment Estimator'!$A$10:$Z$228,N$2,FALSE))</f>
        <v/>
      </c>
      <c r="O138" s="575" t="str">
        <f>VLOOKUP($A138,'Pre-Assessment Estimator'!$A$10:$Z$228,O$2,FALSE)</f>
        <v>0 c. 0 %</v>
      </c>
      <c r="P138" s="574" t="str">
        <f>VLOOKUP($A138,'Pre-Assessment Estimator'!$A$10:$Z$228,P$2,FALSE)</f>
        <v>N/A</v>
      </c>
      <c r="Q138" s="577" t="str">
        <f>IF(VLOOKUP($A138,'Pre-Assessment Estimator'!$A$10:$Z$228,Q$2,FALSE)=0,"",VLOOKUP($A138,'Pre-Assessment Estimator'!$A$10:$Z$228,Q$2,FALSE))</f>
        <v/>
      </c>
      <c r="R138" s="577" t="str">
        <f>IF(VLOOKUP($A138,'Pre-Assessment Estimator'!$A$10:$Z$228,R$2,FALSE)=0,"",VLOOKUP($A138,'Pre-Assessment Estimator'!$A$10:$Z$228,R$2,FALSE))</f>
        <v/>
      </c>
      <c r="S138" s="578" t="str">
        <f>IF(VLOOKUP($A138,'Pre-Assessment Estimator'!$A$10:$Z$228,S$2,FALSE)=0,"",VLOOKUP($A138,'Pre-Assessment Estimator'!$A$10:$Z$228,S$2,FALSE))</f>
        <v/>
      </c>
      <c r="T138" s="581"/>
      <c r="U138" s="580" t="str">
        <f>IF(VLOOKUP($A138,'Pre-Assessment Estimator'!$A$10:$Z$228,U$2,FALSE)=0,"",VLOOKUP($A138,'Pre-Assessment Estimator'!$A$10:$Z$228,U$2,FALSE))</f>
        <v/>
      </c>
      <c r="V138" s="575" t="str">
        <f>VLOOKUP($A138,'Pre-Assessment Estimator'!$A$10:$Z$228,V$2,FALSE)</f>
        <v>0 c. 0 %</v>
      </c>
      <c r="W138" s="574" t="str">
        <f>VLOOKUP($A138,'Pre-Assessment Estimator'!$A$10:$Z$228,W$2,FALSE)</f>
        <v>N/A</v>
      </c>
      <c r="X138" s="577" t="str">
        <f>IF(VLOOKUP($A138,'Pre-Assessment Estimator'!$A$10:$Z$228,X$2,FALSE)=0,"",VLOOKUP($A138,'Pre-Assessment Estimator'!$A$10:$Z$228,X$2,FALSE))</f>
        <v/>
      </c>
      <c r="Y138" s="577" t="str">
        <f>IF(VLOOKUP($A138,'Pre-Assessment Estimator'!$A$10:$Z$228,Y$2,FALSE)=0,"",VLOOKUP($A138,'Pre-Assessment Estimator'!$A$10:$Z$228,Y$2,FALSE))</f>
        <v/>
      </c>
      <c r="Z138" s="370" t="str">
        <f>IF(VLOOKUP($A138,'Pre-Assessment Estimator'!$A$10:$Z$228,Z$2,FALSE)=0,"",VLOOKUP($A138,'Pre-Assessment Estimator'!$A$10:$Z$228,Z$2,FALSE))</f>
        <v/>
      </c>
      <c r="AA138" s="696">
        <v>126</v>
      </c>
      <c r="AB138" s="577"/>
      <c r="AF138" s="386">
        <f t="shared" si="2"/>
        <v>1</v>
      </c>
    </row>
    <row r="139" spans="1:32" ht="30" x14ac:dyDescent="0.25">
      <c r="A139" s="823">
        <v>130</v>
      </c>
      <c r="B139" s="1234" t="s">
        <v>67</v>
      </c>
      <c r="C139" s="1234"/>
      <c r="D139" s="1257" t="str">
        <f>VLOOKUP($A139,'Pre-Assessment Estimator'!$A$10:$Z$228,D$2,FALSE)</f>
        <v>Mat 06</v>
      </c>
      <c r="E139" s="1258" t="str">
        <f>VLOOKUP($A139,'Pre-Assessment Estimator'!$A$10:$Z$228,E$2,FALSE)</f>
        <v>Minimum req: mapping for component reuse - criterion 1 (EU taxonomy requirement: criterion 1)</v>
      </c>
      <c r="F139" s="574" t="str">
        <f>VLOOKUP($A139,'Pre-Assessment Estimator'!$A$10:$Z$228,F$2,FALSE)</f>
        <v>Yes/No</v>
      </c>
      <c r="G139" s="580" t="str">
        <f>IF(VLOOKUP($A139,'Pre-Assessment Estimator'!$A$10:$Z$228,G$2,FALSE)=0,"",VLOOKUP($A139,'Pre-Assessment Estimator'!$A$10:$Z$228,G$2,FALSE))</f>
        <v/>
      </c>
      <c r="H139" s="1220" t="str">
        <f>VLOOKUP($A139,'Pre-Assessment Estimator'!$A$10:$Z$228,H$2,FALSE)</f>
        <v>-</v>
      </c>
      <c r="I139" s="576" t="str">
        <f>VLOOKUP($A139,'Pre-Assessment Estimator'!$A$10:$Z$228,I$2,FALSE)</f>
        <v>Unclassified</v>
      </c>
      <c r="J139" s="577" t="str">
        <f>IF(VLOOKUP($A139,'Pre-Assessment Estimator'!$A$10:$Z$228,J$2,FALSE)=0,"",VLOOKUP($A139,'Pre-Assessment Estimator'!$A$10:$Z$228,J$2,FALSE))</f>
        <v/>
      </c>
      <c r="K139" s="577" t="str">
        <f>IF(VLOOKUP($A139,'Pre-Assessment Estimator'!$A$10:$Z$228,K$2,FALSE)=0,"",VLOOKUP($A139,'Pre-Assessment Estimator'!$A$10:$Z$228,K$2,FALSE))</f>
        <v/>
      </c>
      <c r="L139" s="578" t="str">
        <f>IF(VLOOKUP($A139,'Pre-Assessment Estimator'!$A$10:$Z$228,L$2,FALSE)=0,"",VLOOKUP($A139,'Pre-Assessment Estimator'!$A$10:$Z$228,L$2,FALSE))</f>
        <v/>
      </c>
      <c r="M139" s="579"/>
      <c r="N139" s="580" t="str">
        <f>IF(VLOOKUP($A139,'Pre-Assessment Estimator'!$A$10:$Z$228,N$2,FALSE)=0,"",VLOOKUP($A139,'Pre-Assessment Estimator'!$A$10:$Z$228,N$2,FALSE))</f>
        <v/>
      </c>
      <c r="O139" s="575" t="str">
        <f>VLOOKUP($A139,'Pre-Assessment Estimator'!$A$10:$Z$228,O$2,FALSE)</f>
        <v>-</v>
      </c>
      <c r="P139" s="574" t="str">
        <f>VLOOKUP($A139,'Pre-Assessment Estimator'!$A$10:$Z$228,P$2,FALSE)</f>
        <v>Unclassified</v>
      </c>
      <c r="Q139" s="577" t="str">
        <f>IF(VLOOKUP($A139,'Pre-Assessment Estimator'!$A$10:$Z$228,Q$2,FALSE)=0,"",VLOOKUP($A139,'Pre-Assessment Estimator'!$A$10:$Z$228,Q$2,FALSE))</f>
        <v/>
      </c>
      <c r="R139" s="577" t="str">
        <f>IF(VLOOKUP($A139,'Pre-Assessment Estimator'!$A$10:$Z$228,R$2,FALSE)=0,"",VLOOKUP($A139,'Pre-Assessment Estimator'!$A$10:$Z$228,R$2,FALSE))</f>
        <v/>
      </c>
      <c r="S139" s="578" t="str">
        <f>IF(VLOOKUP($A139,'Pre-Assessment Estimator'!$A$10:$Z$228,S$2,FALSE)=0,"",VLOOKUP($A139,'Pre-Assessment Estimator'!$A$10:$Z$228,S$2,FALSE))</f>
        <v/>
      </c>
      <c r="T139" s="581"/>
      <c r="U139" s="580" t="str">
        <f>IF(VLOOKUP($A139,'Pre-Assessment Estimator'!$A$10:$Z$228,U$2,FALSE)=0,"",VLOOKUP($A139,'Pre-Assessment Estimator'!$A$10:$Z$228,U$2,FALSE))</f>
        <v/>
      </c>
      <c r="V139" s="575" t="str">
        <f>VLOOKUP($A139,'Pre-Assessment Estimator'!$A$10:$Z$228,V$2,FALSE)</f>
        <v>-</v>
      </c>
      <c r="W139" s="574" t="str">
        <f>VLOOKUP($A139,'Pre-Assessment Estimator'!$A$10:$Z$228,W$2,FALSE)</f>
        <v>Unclassified</v>
      </c>
      <c r="X139" s="577" t="str">
        <f>IF(VLOOKUP($A139,'Pre-Assessment Estimator'!$A$10:$Z$228,X$2,FALSE)=0,"",VLOOKUP($A139,'Pre-Assessment Estimator'!$A$10:$Z$228,X$2,FALSE))</f>
        <v/>
      </c>
      <c r="Y139" s="577" t="str">
        <f>IF(VLOOKUP($A139,'Pre-Assessment Estimator'!$A$10:$Z$228,Y$2,FALSE)=0,"",VLOOKUP($A139,'Pre-Assessment Estimator'!$A$10:$Z$228,Y$2,FALSE))</f>
        <v/>
      </c>
      <c r="Z139" s="370" t="str">
        <f>IF(VLOOKUP($A139,'Pre-Assessment Estimator'!$A$10:$Z$228,Z$2,FALSE)=0,"",VLOOKUP($A139,'Pre-Assessment Estimator'!$A$10:$Z$228,Z$2,FALSE))</f>
        <v/>
      </c>
      <c r="AA139" s="696">
        <v>127</v>
      </c>
      <c r="AB139" s="577"/>
      <c r="AF139" s="386">
        <f t="shared" si="2"/>
        <v>1</v>
      </c>
    </row>
    <row r="140" spans="1:32" x14ac:dyDescent="0.25">
      <c r="A140" s="823">
        <v>131</v>
      </c>
      <c r="B140" s="1234" t="s">
        <v>67</v>
      </c>
      <c r="C140" s="1234"/>
      <c r="D140" s="1257" t="str">
        <f>VLOOKUP($A140,'Pre-Assessment Estimator'!$A$10:$Z$228,D$2,FALSE)</f>
        <v>Mat 06</v>
      </c>
      <c r="E140" s="1258" t="str">
        <f>VLOOKUP($A140,'Pre-Assessment Estimator'!$A$10:$Z$228,E$2,FALSE)</f>
        <v>Mapping for component reuse and implementation</v>
      </c>
      <c r="F140" s="574">
        <f>VLOOKUP($A140,'Pre-Assessment Estimator'!$A$10:$Z$228,F$2,FALSE)</f>
        <v>1</v>
      </c>
      <c r="G140" s="580" t="str">
        <f>IF(VLOOKUP($A140,'Pre-Assessment Estimator'!$A$10:$Z$228,G$2,FALSE)=0,"",VLOOKUP($A140,'Pre-Assessment Estimator'!$A$10:$Z$228,G$2,FALSE))</f>
        <v/>
      </c>
      <c r="H140" s="1220">
        <f>VLOOKUP($A140,'Pre-Assessment Estimator'!$A$10:$Z$228,H$2,FALSE)</f>
        <v>0</v>
      </c>
      <c r="I140" s="576" t="str">
        <f>VLOOKUP($A140,'Pre-Assessment Estimator'!$A$10:$Z$228,I$2,FALSE)</f>
        <v>Unclassified</v>
      </c>
      <c r="J140" s="577" t="str">
        <f>IF(VLOOKUP($A140,'Pre-Assessment Estimator'!$A$10:$Z$228,J$2,FALSE)=0,"",VLOOKUP($A140,'Pre-Assessment Estimator'!$A$10:$Z$228,J$2,FALSE))</f>
        <v/>
      </c>
      <c r="K140" s="577" t="str">
        <f>IF(VLOOKUP($A140,'Pre-Assessment Estimator'!$A$10:$Z$228,K$2,FALSE)=0,"",VLOOKUP($A140,'Pre-Assessment Estimator'!$A$10:$Z$228,K$2,FALSE))</f>
        <v/>
      </c>
      <c r="L140" s="578" t="str">
        <f>IF(VLOOKUP($A140,'Pre-Assessment Estimator'!$A$10:$Z$228,L$2,FALSE)=0,"",VLOOKUP($A140,'Pre-Assessment Estimator'!$A$10:$Z$228,L$2,FALSE))</f>
        <v/>
      </c>
      <c r="M140" s="579"/>
      <c r="N140" s="580" t="str">
        <f>IF(VLOOKUP($A140,'Pre-Assessment Estimator'!$A$10:$Z$228,N$2,FALSE)=0,"",VLOOKUP($A140,'Pre-Assessment Estimator'!$A$10:$Z$228,N$2,FALSE))</f>
        <v/>
      </c>
      <c r="O140" s="575">
        <f>VLOOKUP($A140,'Pre-Assessment Estimator'!$A$10:$Z$228,O$2,FALSE)</f>
        <v>0</v>
      </c>
      <c r="P140" s="574" t="str">
        <f>VLOOKUP($A140,'Pre-Assessment Estimator'!$A$10:$Z$228,P$2,FALSE)</f>
        <v>Unclassified</v>
      </c>
      <c r="Q140" s="577" t="str">
        <f>IF(VLOOKUP($A140,'Pre-Assessment Estimator'!$A$10:$Z$228,Q$2,FALSE)=0,"",VLOOKUP($A140,'Pre-Assessment Estimator'!$A$10:$Z$228,Q$2,FALSE))</f>
        <v/>
      </c>
      <c r="R140" s="577" t="str">
        <f>IF(VLOOKUP($A140,'Pre-Assessment Estimator'!$A$10:$Z$228,R$2,FALSE)=0,"",VLOOKUP($A140,'Pre-Assessment Estimator'!$A$10:$Z$228,R$2,FALSE))</f>
        <v/>
      </c>
      <c r="S140" s="578" t="str">
        <f>IF(VLOOKUP($A140,'Pre-Assessment Estimator'!$A$10:$Z$228,S$2,FALSE)=0,"",VLOOKUP($A140,'Pre-Assessment Estimator'!$A$10:$Z$228,S$2,FALSE))</f>
        <v/>
      </c>
      <c r="T140" s="581"/>
      <c r="U140" s="580" t="str">
        <f>IF(VLOOKUP($A140,'Pre-Assessment Estimator'!$A$10:$Z$228,U$2,FALSE)=0,"",VLOOKUP($A140,'Pre-Assessment Estimator'!$A$10:$Z$228,U$2,FALSE))</f>
        <v/>
      </c>
      <c r="V140" s="575">
        <f>VLOOKUP($A140,'Pre-Assessment Estimator'!$A$10:$Z$228,V$2,FALSE)</f>
        <v>0</v>
      </c>
      <c r="W140" s="574" t="str">
        <f>VLOOKUP($A140,'Pre-Assessment Estimator'!$A$10:$Z$228,W$2,FALSE)</f>
        <v>Unclassified</v>
      </c>
      <c r="X140" s="577" t="str">
        <f>IF(VLOOKUP($A140,'Pre-Assessment Estimator'!$A$10:$Z$228,X$2,FALSE)=0,"",VLOOKUP($A140,'Pre-Assessment Estimator'!$A$10:$Z$228,X$2,FALSE))</f>
        <v/>
      </c>
      <c r="Y140" s="577" t="str">
        <f>IF(VLOOKUP($A140,'Pre-Assessment Estimator'!$A$10:$Z$228,Y$2,FALSE)=0,"",VLOOKUP($A140,'Pre-Assessment Estimator'!$A$10:$Z$228,Y$2,FALSE))</f>
        <v/>
      </c>
      <c r="Z140" s="370" t="str">
        <f>IF(VLOOKUP($A140,'Pre-Assessment Estimator'!$A$10:$Z$228,Z$2,FALSE)=0,"",VLOOKUP($A140,'Pre-Assessment Estimator'!$A$10:$Z$228,Z$2,FALSE))</f>
        <v/>
      </c>
      <c r="AA140" s="696">
        <v>128</v>
      </c>
      <c r="AB140" s="577"/>
      <c r="AF140" s="386">
        <f t="shared" si="2"/>
        <v>1</v>
      </c>
    </row>
    <row r="141" spans="1:32" x14ac:dyDescent="0.25">
      <c r="A141" s="823">
        <v>132</v>
      </c>
      <c r="B141" s="1234" t="s">
        <v>67</v>
      </c>
      <c r="C141" s="1234"/>
      <c r="D141" s="1257" t="str">
        <f>VLOOKUP($A141,'Pre-Assessment Estimator'!$A$10:$Z$228,D$2,FALSE)</f>
        <v>Mat 06</v>
      </c>
      <c r="E141" s="1258" t="str">
        <f>VLOOKUP($A141,'Pre-Assessment Estimator'!$A$10:$Z$228,E$2,FALSE)</f>
        <v>Material efficency</v>
      </c>
      <c r="F141" s="574">
        <f>VLOOKUP($A141,'Pre-Assessment Estimator'!$A$10:$Z$228,F$2,FALSE)</f>
        <v>1</v>
      </c>
      <c r="G141" s="580" t="str">
        <f>IF(VLOOKUP($A141,'Pre-Assessment Estimator'!$A$10:$Z$228,G$2,FALSE)=0,"",VLOOKUP($A141,'Pre-Assessment Estimator'!$A$10:$Z$228,G$2,FALSE))</f>
        <v/>
      </c>
      <c r="H141" s="1220">
        <f>VLOOKUP($A141,'Pre-Assessment Estimator'!$A$10:$Z$228,H$2,FALSE)</f>
        <v>0</v>
      </c>
      <c r="I141" s="576" t="str">
        <f>VLOOKUP($A141,'Pre-Assessment Estimator'!$A$10:$Z$228,I$2,FALSE)</f>
        <v>N/A</v>
      </c>
      <c r="J141" s="577" t="str">
        <f>IF(VLOOKUP($A141,'Pre-Assessment Estimator'!$A$10:$Z$228,J$2,FALSE)=0,"",VLOOKUP($A141,'Pre-Assessment Estimator'!$A$10:$Z$228,J$2,FALSE))</f>
        <v/>
      </c>
      <c r="K141" s="577" t="str">
        <f>IF(VLOOKUP($A141,'Pre-Assessment Estimator'!$A$10:$Z$228,K$2,FALSE)=0,"",VLOOKUP($A141,'Pre-Assessment Estimator'!$A$10:$Z$228,K$2,FALSE))</f>
        <v/>
      </c>
      <c r="L141" s="578" t="str">
        <f>IF(VLOOKUP($A141,'Pre-Assessment Estimator'!$A$10:$Z$228,L$2,FALSE)=0,"",VLOOKUP($A141,'Pre-Assessment Estimator'!$A$10:$Z$228,L$2,FALSE))</f>
        <v/>
      </c>
      <c r="M141" s="579"/>
      <c r="N141" s="580" t="str">
        <f>IF(VLOOKUP($A141,'Pre-Assessment Estimator'!$A$10:$Z$228,N$2,FALSE)=0,"",VLOOKUP($A141,'Pre-Assessment Estimator'!$A$10:$Z$228,N$2,FALSE))</f>
        <v/>
      </c>
      <c r="O141" s="575">
        <f>VLOOKUP($A141,'Pre-Assessment Estimator'!$A$10:$Z$228,O$2,FALSE)</f>
        <v>0</v>
      </c>
      <c r="P141" s="574" t="str">
        <f>VLOOKUP($A141,'Pre-Assessment Estimator'!$A$10:$Z$228,P$2,FALSE)</f>
        <v>N/A</v>
      </c>
      <c r="Q141" s="577" t="str">
        <f>IF(VLOOKUP($A141,'Pre-Assessment Estimator'!$A$10:$Z$228,Q$2,FALSE)=0,"",VLOOKUP($A141,'Pre-Assessment Estimator'!$A$10:$Z$228,Q$2,FALSE))</f>
        <v/>
      </c>
      <c r="R141" s="577" t="str">
        <f>IF(VLOOKUP($A141,'Pre-Assessment Estimator'!$A$10:$Z$228,R$2,FALSE)=0,"",VLOOKUP($A141,'Pre-Assessment Estimator'!$A$10:$Z$228,R$2,FALSE))</f>
        <v/>
      </c>
      <c r="S141" s="578" t="str">
        <f>IF(VLOOKUP($A141,'Pre-Assessment Estimator'!$A$10:$Z$228,S$2,FALSE)=0,"",VLOOKUP($A141,'Pre-Assessment Estimator'!$A$10:$Z$228,S$2,FALSE))</f>
        <v/>
      </c>
      <c r="T141" s="581"/>
      <c r="U141" s="580" t="str">
        <f>IF(VLOOKUP($A141,'Pre-Assessment Estimator'!$A$10:$Z$228,U$2,FALSE)=0,"",VLOOKUP($A141,'Pre-Assessment Estimator'!$A$10:$Z$228,U$2,FALSE))</f>
        <v/>
      </c>
      <c r="V141" s="575">
        <f>VLOOKUP($A141,'Pre-Assessment Estimator'!$A$10:$Z$228,V$2,FALSE)</f>
        <v>0</v>
      </c>
      <c r="W141" s="574" t="str">
        <f>VLOOKUP($A141,'Pre-Assessment Estimator'!$A$10:$Z$228,W$2,FALSE)</f>
        <v>N/A</v>
      </c>
      <c r="X141" s="577" t="str">
        <f>IF(VLOOKUP($A141,'Pre-Assessment Estimator'!$A$10:$Z$228,X$2,FALSE)=0,"",VLOOKUP($A141,'Pre-Assessment Estimator'!$A$10:$Z$228,X$2,FALSE))</f>
        <v/>
      </c>
      <c r="Y141" s="577" t="str">
        <f>IF(VLOOKUP($A141,'Pre-Assessment Estimator'!$A$10:$Z$228,Y$2,FALSE)=0,"",VLOOKUP($A141,'Pre-Assessment Estimator'!$A$10:$Z$228,Y$2,FALSE))</f>
        <v/>
      </c>
      <c r="Z141" s="370" t="str">
        <f>IF(VLOOKUP($A141,'Pre-Assessment Estimator'!$A$10:$Z$228,Z$2,FALSE)=0,"",VLOOKUP($A141,'Pre-Assessment Estimator'!$A$10:$Z$228,Z$2,FALSE))</f>
        <v/>
      </c>
      <c r="AA141" s="696">
        <v>129</v>
      </c>
      <c r="AB141" s="577" t="str">
        <f>IF(VLOOKUP($A141,'Pre-Assessment Estimator'!$A$10:$AB$228,AB$2,FALSE)=0,"",VLOOKUP($A141,'Pre-Assessment Estimator'!$A$10:$AB$228,AB$2,FALSE))</f>
        <v/>
      </c>
      <c r="AF141" s="386">
        <f t="shared" si="2"/>
        <v>1</v>
      </c>
    </row>
    <row r="142" spans="1:32" x14ac:dyDescent="0.25">
      <c r="A142" s="823">
        <v>133</v>
      </c>
      <c r="B142" s="1234" t="s">
        <v>67</v>
      </c>
      <c r="C142" s="1234"/>
      <c r="D142" s="1257" t="str">
        <f>VLOOKUP($A142,'Pre-Assessment Estimator'!$A$10:$Z$228,D$2,FALSE)</f>
        <v>Mat 06</v>
      </c>
      <c r="E142" s="1258" t="str">
        <f>VLOOKUP($A142,'Pre-Assessment Estimator'!$A$10:$Z$228,E$2,FALSE)</f>
        <v>Reuse of extern building components</v>
      </c>
      <c r="F142" s="574">
        <f>VLOOKUP($A142,'Pre-Assessment Estimator'!$A$10:$Z$228,F$2,FALSE)</f>
        <v>1</v>
      </c>
      <c r="G142" s="580" t="str">
        <f>IF(VLOOKUP($A142,'Pre-Assessment Estimator'!$A$10:$Z$228,G$2,FALSE)=0,"",VLOOKUP($A142,'Pre-Assessment Estimator'!$A$10:$Z$228,G$2,FALSE))</f>
        <v/>
      </c>
      <c r="H142" s="1220">
        <f>VLOOKUP($A142,'Pre-Assessment Estimator'!$A$10:$Z$228,H$2,FALSE)</f>
        <v>0</v>
      </c>
      <c r="I142" s="576" t="str">
        <f>VLOOKUP($A142,'Pre-Assessment Estimator'!$A$10:$Z$228,I$2,FALSE)</f>
        <v>N/A</v>
      </c>
      <c r="J142" s="577" t="str">
        <f>IF(VLOOKUP($A142,'Pre-Assessment Estimator'!$A$10:$Z$228,J$2,FALSE)=0,"",VLOOKUP($A142,'Pre-Assessment Estimator'!$A$10:$Z$228,J$2,FALSE))</f>
        <v/>
      </c>
      <c r="K142" s="577" t="str">
        <f>IF(VLOOKUP($A142,'Pre-Assessment Estimator'!$A$10:$Z$228,K$2,FALSE)=0,"",VLOOKUP($A142,'Pre-Assessment Estimator'!$A$10:$Z$228,K$2,FALSE))</f>
        <v/>
      </c>
      <c r="L142" s="578" t="str">
        <f>IF(VLOOKUP($A142,'Pre-Assessment Estimator'!$A$10:$Z$228,L$2,FALSE)=0,"",VLOOKUP($A142,'Pre-Assessment Estimator'!$A$10:$Z$228,L$2,FALSE))</f>
        <v/>
      </c>
      <c r="M142" s="579"/>
      <c r="N142" s="580" t="str">
        <f>IF(VLOOKUP($A142,'Pre-Assessment Estimator'!$A$10:$Z$228,N$2,FALSE)=0,"",VLOOKUP($A142,'Pre-Assessment Estimator'!$A$10:$Z$228,N$2,FALSE))</f>
        <v/>
      </c>
      <c r="O142" s="575">
        <f>VLOOKUP($A142,'Pre-Assessment Estimator'!$A$10:$Z$228,O$2,FALSE)</f>
        <v>0</v>
      </c>
      <c r="P142" s="574" t="str">
        <f>VLOOKUP($A142,'Pre-Assessment Estimator'!$A$10:$Z$228,P$2,FALSE)</f>
        <v>N/A</v>
      </c>
      <c r="Q142" s="577" t="str">
        <f>IF(VLOOKUP($A142,'Pre-Assessment Estimator'!$A$10:$Z$228,Q$2,FALSE)=0,"",VLOOKUP($A142,'Pre-Assessment Estimator'!$A$10:$Z$228,Q$2,FALSE))</f>
        <v/>
      </c>
      <c r="R142" s="577" t="str">
        <f>IF(VLOOKUP($A142,'Pre-Assessment Estimator'!$A$10:$Z$228,R$2,FALSE)=0,"",VLOOKUP($A142,'Pre-Assessment Estimator'!$A$10:$Z$228,R$2,FALSE))</f>
        <v/>
      </c>
      <c r="S142" s="578" t="str">
        <f>IF(VLOOKUP($A142,'Pre-Assessment Estimator'!$A$10:$Z$228,S$2,FALSE)=0,"",VLOOKUP($A142,'Pre-Assessment Estimator'!$A$10:$Z$228,S$2,FALSE))</f>
        <v/>
      </c>
      <c r="T142" s="581"/>
      <c r="U142" s="580" t="str">
        <f>IF(VLOOKUP($A142,'Pre-Assessment Estimator'!$A$10:$Z$228,U$2,FALSE)=0,"",VLOOKUP($A142,'Pre-Assessment Estimator'!$A$10:$Z$228,U$2,FALSE))</f>
        <v/>
      </c>
      <c r="V142" s="575">
        <f>VLOOKUP($A142,'Pre-Assessment Estimator'!$A$10:$Z$228,V$2,FALSE)</f>
        <v>0</v>
      </c>
      <c r="W142" s="574" t="str">
        <f>VLOOKUP($A142,'Pre-Assessment Estimator'!$A$10:$Z$228,W$2,FALSE)</f>
        <v>N/A</v>
      </c>
      <c r="X142" s="577" t="str">
        <f>IF(VLOOKUP($A142,'Pre-Assessment Estimator'!$A$10:$Z$228,X$2,FALSE)=0,"",VLOOKUP($A142,'Pre-Assessment Estimator'!$A$10:$Z$228,X$2,FALSE))</f>
        <v/>
      </c>
      <c r="Y142" s="577" t="str">
        <f>IF(VLOOKUP($A142,'Pre-Assessment Estimator'!$A$10:$Z$228,Y$2,FALSE)=0,"",VLOOKUP($A142,'Pre-Assessment Estimator'!$A$10:$Z$228,Y$2,FALSE))</f>
        <v/>
      </c>
      <c r="Z142" s="370" t="str">
        <f>IF(VLOOKUP($A142,'Pre-Assessment Estimator'!$A$10:$Z$228,Z$2,FALSE)=0,"",VLOOKUP($A142,'Pre-Assessment Estimator'!$A$10:$Z$228,Z$2,FALSE))</f>
        <v/>
      </c>
      <c r="AA142" s="696">
        <v>130</v>
      </c>
      <c r="AB142" s="577" t="str">
        <f>IF(VLOOKUP($A142,'Pre-Assessment Estimator'!$A$10:$AB$228,AB$2,FALSE)=0,"",VLOOKUP($A142,'Pre-Assessment Estimator'!$A$10:$AB$228,AB$2,FALSE))</f>
        <v/>
      </c>
      <c r="AF142" s="386">
        <f t="shared" si="2"/>
        <v>1</v>
      </c>
    </row>
    <row r="143" spans="1:32" x14ac:dyDescent="0.25">
      <c r="A143" s="823">
        <v>134</v>
      </c>
      <c r="B143" s="1234" t="s">
        <v>67</v>
      </c>
      <c r="C143" s="1234"/>
      <c r="D143" s="1256" t="str">
        <f>VLOOKUP($A143,'Pre-Assessment Estimator'!$A$10:$Z$228,D$2,FALSE)</f>
        <v>Mat 07</v>
      </c>
      <c r="E143" s="1256" t="str">
        <f>VLOOKUP($A143,'Pre-Assessment Estimator'!$A$10:$Z$228,E$2,FALSE)</f>
        <v>Mat 07 Design for disassembly and adaptability</v>
      </c>
      <c r="F143" s="574">
        <f>VLOOKUP($A143,'Pre-Assessment Estimator'!$A$10:$Z$228,F$2,FALSE)</f>
        <v>3</v>
      </c>
      <c r="G143" s="580" t="str">
        <f>IF(VLOOKUP($A143,'Pre-Assessment Estimator'!$A$10:$Z$228,G$2,FALSE)=0,"",VLOOKUP($A143,'Pre-Assessment Estimator'!$A$10:$Z$228,G$2,FALSE))</f>
        <v/>
      </c>
      <c r="H143" s="1220" t="str">
        <f>VLOOKUP($A143,'Pre-Assessment Estimator'!$A$10:$Z$228,H$2,FALSE)</f>
        <v>0 c. 0 %</v>
      </c>
      <c r="I143" s="576" t="str">
        <f>VLOOKUP($A143,'Pre-Assessment Estimator'!$A$10:$Z$228,I$2,FALSE)</f>
        <v>N/A</v>
      </c>
      <c r="J143" s="577" t="str">
        <f>IF(VLOOKUP($A143,'Pre-Assessment Estimator'!$A$10:$Z$228,J$2,FALSE)=0,"",VLOOKUP($A143,'Pre-Assessment Estimator'!$A$10:$Z$228,J$2,FALSE))</f>
        <v/>
      </c>
      <c r="K143" s="577" t="str">
        <f>IF(VLOOKUP($A143,'Pre-Assessment Estimator'!$A$10:$Z$228,K$2,FALSE)=0,"",VLOOKUP($A143,'Pre-Assessment Estimator'!$A$10:$Z$228,K$2,FALSE))</f>
        <v/>
      </c>
      <c r="L143" s="578" t="str">
        <f>IF(VLOOKUP($A143,'Pre-Assessment Estimator'!$A$10:$Z$228,L$2,FALSE)=0,"",VLOOKUP($A143,'Pre-Assessment Estimator'!$A$10:$Z$228,L$2,FALSE))</f>
        <v/>
      </c>
      <c r="M143" s="579"/>
      <c r="N143" s="580" t="str">
        <f>IF(VLOOKUP($A143,'Pre-Assessment Estimator'!$A$10:$Z$228,N$2,FALSE)=0,"",VLOOKUP($A143,'Pre-Assessment Estimator'!$A$10:$Z$228,N$2,FALSE))</f>
        <v/>
      </c>
      <c r="O143" s="575" t="str">
        <f>VLOOKUP($A143,'Pre-Assessment Estimator'!$A$10:$Z$228,O$2,FALSE)</f>
        <v>0 c. 0 %</v>
      </c>
      <c r="P143" s="574" t="str">
        <f>VLOOKUP($A143,'Pre-Assessment Estimator'!$A$10:$Z$228,P$2,FALSE)</f>
        <v>N/A</v>
      </c>
      <c r="Q143" s="577" t="str">
        <f>IF(VLOOKUP($A143,'Pre-Assessment Estimator'!$A$10:$Z$228,Q$2,FALSE)=0,"",VLOOKUP($A143,'Pre-Assessment Estimator'!$A$10:$Z$228,Q$2,FALSE))</f>
        <v/>
      </c>
      <c r="R143" s="577" t="str">
        <f>IF(VLOOKUP($A143,'Pre-Assessment Estimator'!$A$10:$Z$228,R$2,FALSE)=0,"",VLOOKUP($A143,'Pre-Assessment Estimator'!$A$10:$Z$228,R$2,FALSE))</f>
        <v/>
      </c>
      <c r="S143" s="578" t="str">
        <f>IF(VLOOKUP($A143,'Pre-Assessment Estimator'!$A$10:$Z$228,S$2,FALSE)=0,"",VLOOKUP($A143,'Pre-Assessment Estimator'!$A$10:$Z$228,S$2,FALSE))</f>
        <v/>
      </c>
      <c r="T143" s="581"/>
      <c r="U143" s="580" t="str">
        <f>IF(VLOOKUP($A143,'Pre-Assessment Estimator'!$A$10:$Z$228,U$2,FALSE)=0,"",VLOOKUP($A143,'Pre-Assessment Estimator'!$A$10:$Z$228,U$2,FALSE))</f>
        <v/>
      </c>
      <c r="V143" s="575" t="str">
        <f>VLOOKUP($A143,'Pre-Assessment Estimator'!$A$10:$Z$228,V$2,FALSE)</f>
        <v>0 c. 0 %</v>
      </c>
      <c r="W143" s="574" t="str">
        <f>VLOOKUP($A143,'Pre-Assessment Estimator'!$A$10:$Z$228,W$2,FALSE)</f>
        <v>N/A</v>
      </c>
      <c r="X143" s="577" t="str">
        <f>IF(VLOOKUP($A143,'Pre-Assessment Estimator'!$A$10:$Z$228,X$2,FALSE)=0,"",VLOOKUP($A143,'Pre-Assessment Estimator'!$A$10:$Z$228,X$2,FALSE))</f>
        <v/>
      </c>
      <c r="Y143" s="577" t="str">
        <f>IF(VLOOKUP($A143,'Pre-Assessment Estimator'!$A$10:$Z$228,Y$2,FALSE)=0,"",VLOOKUP($A143,'Pre-Assessment Estimator'!$A$10:$Z$228,Y$2,FALSE))</f>
        <v/>
      </c>
      <c r="Z143" s="370" t="str">
        <f>IF(VLOOKUP($A143,'Pre-Assessment Estimator'!$A$10:$Z$228,Z$2,FALSE)=0,"",VLOOKUP($A143,'Pre-Assessment Estimator'!$A$10:$Z$228,Z$2,FALSE))</f>
        <v/>
      </c>
      <c r="AA143" s="696">
        <v>131</v>
      </c>
      <c r="AB143" s="577"/>
      <c r="AF143" s="386">
        <f t="shared" si="2"/>
        <v>1</v>
      </c>
    </row>
    <row r="144" spans="1:32" x14ac:dyDescent="0.25">
      <c r="A144" s="823">
        <v>135</v>
      </c>
      <c r="B144" s="1234" t="s">
        <v>67</v>
      </c>
      <c r="C144" s="1234"/>
      <c r="D144" s="1257" t="str">
        <f>VLOOKUP($A144,'Pre-Assessment Estimator'!$A$10:$Z$228,D$2,FALSE)</f>
        <v>Mat 07</v>
      </c>
      <c r="E144" s="1258" t="str">
        <f>VLOOKUP($A144,'Pre-Assessment Estimator'!$A$10:$Z$228,E$2,FALSE)</f>
        <v>Resource inventory</v>
      </c>
      <c r="F144" s="574">
        <f>VLOOKUP($A144,'Pre-Assessment Estimator'!$A$10:$Z$228,F$2,FALSE)</f>
        <v>1</v>
      </c>
      <c r="G144" s="580" t="str">
        <f>IF(VLOOKUP($A144,'Pre-Assessment Estimator'!$A$10:$Z$228,G$2,FALSE)=0,"",VLOOKUP($A144,'Pre-Assessment Estimator'!$A$10:$Z$228,G$2,FALSE))</f>
        <v/>
      </c>
      <c r="H144" s="1220">
        <f>VLOOKUP($A144,'Pre-Assessment Estimator'!$A$10:$Z$228,H$2,FALSE)</f>
        <v>0</v>
      </c>
      <c r="I144" s="576" t="str">
        <f>VLOOKUP($A144,'Pre-Assessment Estimator'!$A$10:$Z$228,I$2,FALSE)</f>
        <v>N/A</v>
      </c>
      <c r="J144" s="577" t="str">
        <f>IF(VLOOKUP($A144,'Pre-Assessment Estimator'!$A$10:$Z$228,J$2,FALSE)=0,"",VLOOKUP($A144,'Pre-Assessment Estimator'!$A$10:$Z$228,J$2,FALSE))</f>
        <v/>
      </c>
      <c r="K144" s="577" t="str">
        <f>IF(VLOOKUP($A144,'Pre-Assessment Estimator'!$A$10:$Z$228,K$2,FALSE)=0,"",VLOOKUP($A144,'Pre-Assessment Estimator'!$A$10:$Z$228,K$2,FALSE))</f>
        <v/>
      </c>
      <c r="L144" s="578" t="str">
        <f>IF(VLOOKUP($A144,'Pre-Assessment Estimator'!$A$10:$Z$228,L$2,FALSE)=0,"",VLOOKUP($A144,'Pre-Assessment Estimator'!$A$10:$Z$228,L$2,FALSE))</f>
        <v/>
      </c>
      <c r="M144" s="579"/>
      <c r="N144" s="580" t="str">
        <f>IF(VLOOKUP($A144,'Pre-Assessment Estimator'!$A$10:$Z$228,N$2,FALSE)=0,"",VLOOKUP($A144,'Pre-Assessment Estimator'!$A$10:$Z$228,N$2,FALSE))</f>
        <v/>
      </c>
      <c r="O144" s="575">
        <f>VLOOKUP($A144,'Pre-Assessment Estimator'!$A$10:$Z$228,O$2,FALSE)</f>
        <v>0</v>
      </c>
      <c r="P144" s="574" t="str">
        <f>VLOOKUP($A144,'Pre-Assessment Estimator'!$A$10:$Z$228,P$2,FALSE)</f>
        <v>N/A</v>
      </c>
      <c r="Q144" s="577" t="str">
        <f>IF(VLOOKUP($A144,'Pre-Assessment Estimator'!$A$10:$Z$228,Q$2,FALSE)=0,"",VLOOKUP($A144,'Pre-Assessment Estimator'!$A$10:$Z$228,Q$2,FALSE))</f>
        <v/>
      </c>
      <c r="R144" s="577" t="str">
        <f>IF(VLOOKUP($A144,'Pre-Assessment Estimator'!$A$10:$Z$228,R$2,FALSE)=0,"",VLOOKUP($A144,'Pre-Assessment Estimator'!$A$10:$Z$228,R$2,FALSE))</f>
        <v/>
      </c>
      <c r="S144" s="578" t="str">
        <f>IF(VLOOKUP($A144,'Pre-Assessment Estimator'!$A$10:$Z$228,S$2,FALSE)=0,"",VLOOKUP($A144,'Pre-Assessment Estimator'!$A$10:$Z$228,S$2,FALSE))</f>
        <v/>
      </c>
      <c r="T144" s="581"/>
      <c r="U144" s="580" t="str">
        <f>IF(VLOOKUP($A144,'Pre-Assessment Estimator'!$A$10:$Z$228,U$2,FALSE)=0,"",VLOOKUP($A144,'Pre-Assessment Estimator'!$A$10:$Z$228,U$2,FALSE))</f>
        <v/>
      </c>
      <c r="V144" s="575">
        <f>VLOOKUP($A144,'Pre-Assessment Estimator'!$A$10:$Z$228,V$2,FALSE)</f>
        <v>0</v>
      </c>
      <c r="W144" s="574" t="str">
        <f>VLOOKUP($A144,'Pre-Assessment Estimator'!$A$10:$Z$228,W$2,FALSE)</f>
        <v>N/A</v>
      </c>
      <c r="X144" s="577" t="str">
        <f>IF(VLOOKUP($A144,'Pre-Assessment Estimator'!$A$10:$Z$228,X$2,FALSE)=0,"",VLOOKUP($A144,'Pre-Assessment Estimator'!$A$10:$Z$228,X$2,FALSE))</f>
        <v/>
      </c>
      <c r="Y144" s="577" t="str">
        <f>IF(VLOOKUP($A144,'Pre-Assessment Estimator'!$A$10:$Z$228,Y$2,FALSE)=0,"",VLOOKUP($A144,'Pre-Assessment Estimator'!$A$10:$Z$228,Y$2,FALSE))</f>
        <v/>
      </c>
      <c r="Z144" s="370" t="str">
        <f>IF(VLOOKUP($A144,'Pre-Assessment Estimator'!$A$10:$Z$228,Z$2,FALSE)=0,"",VLOOKUP($A144,'Pre-Assessment Estimator'!$A$10:$Z$228,Z$2,FALSE))</f>
        <v/>
      </c>
      <c r="AA144" s="696">
        <v>132</v>
      </c>
      <c r="AB144" s="577"/>
      <c r="AF144" s="386">
        <f t="shared" si="2"/>
        <v>1</v>
      </c>
    </row>
    <row r="145" spans="1:32" ht="30" x14ac:dyDescent="0.25">
      <c r="A145" s="823">
        <v>136</v>
      </c>
      <c r="B145" s="1234" t="s">
        <v>67</v>
      </c>
      <c r="C145" s="1234"/>
      <c r="D145" s="1257" t="str">
        <f>VLOOKUP($A145,'Pre-Assessment Estimator'!$A$10:$Z$228,D$2,FALSE)</f>
        <v>Mat 07</v>
      </c>
      <c r="E145" s="1258" t="str">
        <f>VLOOKUP($A145,'Pre-Assessment Estimator'!$A$10:$Z$228,E$2,FALSE)</f>
        <v>Design for disassembly and functional adaptability - recommendations (EU taxonomy requirement: criterion 2-3)</v>
      </c>
      <c r="F145" s="574">
        <f>VLOOKUP($A145,'Pre-Assessment Estimator'!$A$10:$Z$228,F$2,FALSE)</f>
        <v>1</v>
      </c>
      <c r="G145" s="580" t="str">
        <f>IF(VLOOKUP($A145,'Pre-Assessment Estimator'!$A$10:$Z$228,G$2,FALSE)=0,"",VLOOKUP($A145,'Pre-Assessment Estimator'!$A$10:$Z$228,G$2,FALSE))</f>
        <v/>
      </c>
      <c r="H145" s="1220">
        <f>VLOOKUP($A145,'Pre-Assessment Estimator'!$A$10:$Z$228,H$2,FALSE)</f>
        <v>0</v>
      </c>
      <c r="I145" s="576" t="str">
        <f>VLOOKUP($A145,'Pre-Assessment Estimator'!$A$10:$Z$228,I$2,FALSE)</f>
        <v>Very Good</v>
      </c>
      <c r="J145" s="577" t="str">
        <f>IF(VLOOKUP($A145,'Pre-Assessment Estimator'!$A$10:$Z$228,J$2,FALSE)=0,"",VLOOKUP($A145,'Pre-Assessment Estimator'!$A$10:$Z$228,J$2,FALSE))</f>
        <v/>
      </c>
      <c r="K145" s="577" t="str">
        <f>IF(VLOOKUP($A145,'Pre-Assessment Estimator'!$A$10:$Z$228,K$2,FALSE)=0,"",VLOOKUP($A145,'Pre-Assessment Estimator'!$A$10:$Z$228,K$2,FALSE))</f>
        <v/>
      </c>
      <c r="L145" s="578" t="str">
        <f>IF(VLOOKUP($A145,'Pre-Assessment Estimator'!$A$10:$Z$228,L$2,FALSE)=0,"",VLOOKUP($A145,'Pre-Assessment Estimator'!$A$10:$Z$228,L$2,FALSE))</f>
        <v/>
      </c>
      <c r="M145" s="579"/>
      <c r="N145" s="580" t="str">
        <f>IF(VLOOKUP($A145,'Pre-Assessment Estimator'!$A$10:$Z$228,N$2,FALSE)=0,"",VLOOKUP($A145,'Pre-Assessment Estimator'!$A$10:$Z$228,N$2,FALSE))</f>
        <v/>
      </c>
      <c r="O145" s="575">
        <f>VLOOKUP($A145,'Pre-Assessment Estimator'!$A$10:$Z$228,O$2,FALSE)</f>
        <v>0</v>
      </c>
      <c r="P145" s="574" t="str">
        <f>VLOOKUP($A145,'Pre-Assessment Estimator'!$A$10:$Z$228,P$2,FALSE)</f>
        <v>Very Good</v>
      </c>
      <c r="Q145" s="577" t="str">
        <f>IF(VLOOKUP($A145,'Pre-Assessment Estimator'!$A$10:$Z$228,Q$2,FALSE)=0,"",VLOOKUP($A145,'Pre-Assessment Estimator'!$A$10:$Z$228,Q$2,FALSE))</f>
        <v/>
      </c>
      <c r="R145" s="577" t="str">
        <f>IF(VLOOKUP($A145,'Pre-Assessment Estimator'!$A$10:$Z$228,R$2,FALSE)=0,"",VLOOKUP($A145,'Pre-Assessment Estimator'!$A$10:$Z$228,R$2,FALSE))</f>
        <v/>
      </c>
      <c r="S145" s="578" t="str">
        <f>IF(VLOOKUP($A145,'Pre-Assessment Estimator'!$A$10:$Z$228,S$2,FALSE)=0,"",VLOOKUP($A145,'Pre-Assessment Estimator'!$A$10:$Z$228,S$2,FALSE))</f>
        <v/>
      </c>
      <c r="T145" s="581"/>
      <c r="U145" s="580" t="str">
        <f>IF(VLOOKUP($A145,'Pre-Assessment Estimator'!$A$10:$Z$228,U$2,FALSE)=0,"",VLOOKUP($A145,'Pre-Assessment Estimator'!$A$10:$Z$228,U$2,FALSE))</f>
        <v/>
      </c>
      <c r="V145" s="575">
        <f>VLOOKUP($A145,'Pre-Assessment Estimator'!$A$10:$Z$228,V$2,FALSE)</f>
        <v>0</v>
      </c>
      <c r="W145" s="574" t="str">
        <f>VLOOKUP($A145,'Pre-Assessment Estimator'!$A$10:$Z$228,W$2,FALSE)</f>
        <v>Very Good</v>
      </c>
      <c r="X145" s="577" t="str">
        <f>IF(VLOOKUP($A145,'Pre-Assessment Estimator'!$A$10:$Z$228,X$2,FALSE)=0,"",VLOOKUP($A145,'Pre-Assessment Estimator'!$A$10:$Z$228,X$2,FALSE))</f>
        <v/>
      </c>
      <c r="Y145" s="577" t="str">
        <f>IF(VLOOKUP($A145,'Pre-Assessment Estimator'!$A$10:$Z$228,Y$2,FALSE)=0,"",VLOOKUP($A145,'Pre-Assessment Estimator'!$A$10:$Z$228,Y$2,FALSE))</f>
        <v/>
      </c>
      <c r="Z145" s="370" t="str">
        <f>IF(VLOOKUP($A145,'Pre-Assessment Estimator'!$A$10:$Z$228,Z$2,FALSE)=0,"",VLOOKUP($A145,'Pre-Assessment Estimator'!$A$10:$Z$228,Z$2,FALSE))</f>
        <v/>
      </c>
      <c r="AA145" s="696">
        <v>133</v>
      </c>
      <c r="AB145" s="577" t="str">
        <f>IF(VLOOKUP($A145,'Pre-Assessment Estimator'!$A$10:$AB$228,AB$2,FALSE)=0,"",VLOOKUP($A145,'Pre-Assessment Estimator'!$A$10:$AB$228,AB$2,FALSE))</f>
        <v/>
      </c>
      <c r="AF145" s="386">
        <f t="shared" si="2"/>
        <v>1</v>
      </c>
    </row>
    <row r="146" spans="1:32" ht="30" x14ac:dyDescent="0.25">
      <c r="A146" s="823">
        <v>137</v>
      </c>
      <c r="B146" s="1234" t="s">
        <v>67</v>
      </c>
      <c r="C146" s="1234"/>
      <c r="D146" s="1257" t="str">
        <f>VLOOKUP($A146,'Pre-Assessment Estimator'!$A$10:$Z$228,D$2,FALSE)</f>
        <v>Mat 07</v>
      </c>
      <c r="E146" s="1258" t="str">
        <f>VLOOKUP($A146,'Pre-Assessment Estimator'!$A$10:$Z$228,E$2,FALSE)</f>
        <v>Disassembly and functional adaptability - implementation (EU taxonomy requirement: criterion 4-6)</v>
      </c>
      <c r="F146" s="574">
        <f>VLOOKUP($A146,'Pre-Assessment Estimator'!$A$10:$Z$228,F$2,FALSE)</f>
        <v>1</v>
      </c>
      <c r="G146" s="580" t="str">
        <f>IF(VLOOKUP($A146,'Pre-Assessment Estimator'!$A$10:$Z$228,G$2,FALSE)=0,"",VLOOKUP($A146,'Pre-Assessment Estimator'!$A$10:$Z$228,G$2,FALSE))</f>
        <v/>
      </c>
      <c r="H146" s="1220">
        <f>VLOOKUP($A146,'Pre-Assessment Estimator'!$A$10:$Z$228,H$2,FALSE)</f>
        <v>0</v>
      </c>
      <c r="I146" s="576" t="str">
        <f>VLOOKUP($A146,'Pre-Assessment Estimator'!$A$10:$Z$228,I$2,FALSE)</f>
        <v>Very Good</v>
      </c>
      <c r="J146" s="577" t="str">
        <f>IF(VLOOKUP($A146,'Pre-Assessment Estimator'!$A$10:$Z$228,J$2,FALSE)=0,"",VLOOKUP($A146,'Pre-Assessment Estimator'!$A$10:$Z$228,J$2,FALSE))</f>
        <v/>
      </c>
      <c r="K146" s="577" t="str">
        <f>IF(VLOOKUP($A146,'Pre-Assessment Estimator'!$A$10:$Z$228,K$2,FALSE)=0,"",VLOOKUP($A146,'Pre-Assessment Estimator'!$A$10:$Z$228,K$2,FALSE))</f>
        <v/>
      </c>
      <c r="L146" s="578" t="str">
        <f>IF(VLOOKUP($A146,'Pre-Assessment Estimator'!$A$10:$Z$228,L$2,FALSE)=0,"",VLOOKUP($A146,'Pre-Assessment Estimator'!$A$10:$Z$228,L$2,FALSE))</f>
        <v/>
      </c>
      <c r="M146" s="579"/>
      <c r="N146" s="580" t="str">
        <f>IF(VLOOKUP($A146,'Pre-Assessment Estimator'!$A$10:$Z$228,N$2,FALSE)=0,"",VLOOKUP($A146,'Pre-Assessment Estimator'!$A$10:$Z$228,N$2,FALSE))</f>
        <v/>
      </c>
      <c r="O146" s="575">
        <f>VLOOKUP($A146,'Pre-Assessment Estimator'!$A$10:$Z$228,O$2,FALSE)</f>
        <v>0</v>
      </c>
      <c r="P146" s="574" t="str">
        <f>VLOOKUP($A146,'Pre-Assessment Estimator'!$A$10:$Z$228,P$2,FALSE)</f>
        <v>Very Good</v>
      </c>
      <c r="Q146" s="577" t="str">
        <f>IF(VLOOKUP($A146,'Pre-Assessment Estimator'!$A$10:$Z$228,Q$2,FALSE)=0,"",VLOOKUP($A146,'Pre-Assessment Estimator'!$A$10:$Z$228,Q$2,FALSE))</f>
        <v/>
      </c>
      <c r="R146" s="577" t="str">
        <f>IF(VLOOKUP($A146,'Pre-Assessment Estimator'!$A$10:$Z$228,R$2,FALSE)=0,"",VLOOKUP($A146,'Pre-Assessment Estimator'!$A$10:$Z$228,R$2,FALSE))</f>
        <v/>
      </c>
      <c r="S146" s="578" t="str">
        <f>IF(VLOOKUP($A146,'Pre-Assessment Estimator'!$A$10:$Z$228,S$2,FALSE)=0,"",VLOOKUP($A146,'Pre-Assessment Estimator'!$A$10:$Z$228,S$2,FALSE))</f>
        <v/>
      </c>
      <c r="T146" s="581"/>
      <c r="U146" s="580" t="str">
        <f>IF(VLOOKUP($A146,'Pre-Assessment Estimator'!$A$10:$Z$228,U$2,FALSE)=0,"",VLOOKUP($A146,'Pre-Assessment Estimator'!$A$10:$Z$228,U$2,FALSE))</f>
        <v/>
      </c>
      <c r="V146" s="575">
        <f>VLOOKUP($A146,'Pre-Assessment Estimator'!$A$10:$Z$228,V$2,FALSE)</f>
        <v>0</v>
      </c>
      <c r="W146" s="574" t="str">
        <f>VLOOKUP($A146,'Pre-Assessment Estimator'!$A$10:$Z$228,W$2,FALSE)</f>
        <v>Very Good</v>
      </c>
      <c r="X146" s="577" t="str">
        <f>IF(VLOOKUP($A146,'Pre-Assessment Estimator'!$A$10:$Z$228,X$2,FALSE)=0,"",VLOOKUP($A146,'Pre-Assessment Estimator'!$A$10:$Z$228,X$2,FALSE))</f>
        <v/>
      </c>
      <c r="Y146" s="577" t="str">
        <f>IF(VLOOKUP($A146,'Pre-Assessment Estimator'!$A$10:$Z$228,Y$2,FALSE)=0,"",VLOOKUP($A146,'Pre-Assessment Estimator'!$A$10:$Z$228,Y$2,FALSE))</f>
        <v/>
      </c>
      <c r="Z146" s="370" t="str">
        <f>IF(VLOOKUP($A146,'Pre-Assessment Estimator'!$A$10:$Z$228,Z$2,FALSE)=0,"",VLOOKUP($A146,'Pre-Assessment Estimator'!$A$10:$Z$228,Z$2,FALSE))</f>
        <v/>
      </c>
      <c r="AA146" s="696">
        <v>134</v>
      </c>
      <c r="AB146" s="585" t="str">
        <f>IF(VLOOKUP($A146,'Pre-Assessment Estimator'!$A$10:$AB$228,AB$2,FALSE)=0,"",VLOOKUP($A146,'Pre-Assessment Estimator'!$A$10:$AB$228,AB$2,FALSE))</f>
        <v/>
      </c>
      <c r="AC146" s="389"/>
      <c r="AD146" s="389"/>
      <c r="AE146" s="389"/>
      <c r="AF146" s="386">
        <f t="shared" si="2"/>
        <v>1</v>
      </c>
    </row>
    <row r="147" spans="1:32" ht="30" customHeight="1" thickBot="1" x14ac:dyDescent="0.3">
      <c r="A147" s="823">
        <v>138</v>
      </c>
      <c r="B147" s="1234" t="s">
        <v>68</v>
      </c>
      <c r="C147" s="1234"/>
      <c r="D147" s="1259"/>
      <c r="E147" s="1259" t="str">
        <f>VLOOKUP($A147,'Pre-Assessment Estimator'!$A$10:$Z$228,E$2,FALSE)</f>
        <v>Total performance materials</v>
      </c>
      <c r="F147" s="582">
        <f>VLOOKUP($A147,'Pre-Assessment Estimator'!$A$10:$Z$228,F$2,FALSE)</f>
        <v>21</v>
      </c>
      <c r="G147" s="584" t="str">
        <f>IF(VLOOKUP($A147,'Pre-Assessment Estimator'!$A$10:$Z$228,G$2,FALSE)=0,"",VLOOKUP($A147,'Pre-Assessment Estimator'!$A$10:$Z$228,G$2,FALSE))</f>
        <v/>
      </c>
      <c r="H147" s="583">
        <f>VLOOKUP($A147,'Pre-Assessment Estimator'!$A$10:$Z$228,H$2,FALSE)</f>
        <v>0</v>
      </c>
      <c r="I147" s="582" t="str">
        <f>VLOOKUP($A147,'Pre-Assessment Estimator'!$A$10:$Z$228,I$2,FALSE)</f>
        <v>Credits achieved: 0</v>
      </c>
      <c r="J147" s="1202" t="str">
        <f>IF(VLOOKUP($A147,'Pre-Assessment Estimator'!$A$10:$Z$228,J$2,FALSE)=0,"",VLOOKUP($A147,'Pre-Assessment Estimator'!$A$10:$Z$228,J$2,FALSE))</f>
        <v/>
      </c>
      <c r="K147" s="1202" t="str">
        <f>IF(VLOOKUP($A147,'Pre-Assessment Estimator'!$A$10:$Z$228,K$2,FALSE)=0,"",VLOOKUP($A147,'Pre-Assessment Estimator'!$A$10:$Z$228,K$2,FALSE))</f>
        <v/>
      </c>
      <c r="L147" s="1221" t="str">
        <f>IF(VLOOKUP($A147,'Pre-Assessment Estimator'!$A$10:$Z$228,L$2,FALSE)=0,"",VLOOKUP($A147,'Pre-Assessment Estimator'!$A$10:$Z$228,L$2,FALSE))</f>
        <v/>
      </c>
      <c r="M147" s="1222"/>
      <c r="N147" s="584" t="str">
        <f>IF(VLOOKUP($A147,'Pre-Assessment Estimator'!$A$10:$Z$228,N$2,FALSE)=0,"",VLOOKUP($A147,'Pre-Assessment Estimator'!$A$10:$Z$228,N$2,FALSE))</f>
        <v/>
      </c>
      <c r="O147" s="583">
        <f>VLOOKUP($A147,'Pre-Assessment Estimator'!$A$10:$Z$228,O$2,FALSE)</f>
        <v>0</v>
      </c>
      <c r="P147" s="582" t="str">
        <f>VLOOKUP($A147,'Pre-Assessment Estimator'!$A$10:$Z$228,P$2,FALSE)</f>
        <v>Credits achieved: 0</v>
      </c>
      <c r="Q147" s="1202" t="str">
        <f>IF(VLOOKUP($A147,'Pre-Assessment Estimator'!$A$10:$Z$228,Q$2,FALSE)=0,"",VLOOKUP($A147,'Pre-Assessment Estimator'!$A$10:$Z$228,Q$2,FALSE))</f>
        <v/>
      </c>
      <c r="R147" s="1202" t="str">
        <f>IF(VLOOKUP($A147,'Pre-Assessment Estimator'!$A$10:$Z$228,R$2,FALSE)=0,"",VLOOKUP($A147,'Pre-Assessment Estimator'!$A$10:$Z$228,R$2,FALSE))</f>
        <v/>
      </c>
      <c r="S147" s="1221" t="str">
        <f>IF(VLOOKUP($A147,'Pre-Assessment Estimator'!$A$10:$Z$228,S$2,FALSE)=0,"",VLOOKUP($A147,'Pre-Assessment Estimator'!$A$10:$Z$228,S$2,FALSE))</f>
        <v/>
      </c>
      <c r="T147" s="1223"/>
      <c r="U147" s="584" t="str">
        <f>IF(VLOOKUP($A147,'Pre-Assessment Estimator'!$A$10:$Z$228,U$2,FALSE)=0,"",VLOOKUP($A147,'Pre-Assessment Estimator'!$A$10:$Z$228,U$2,FALSE))</f>
        <v/>
      </c>
      <c r="V147" s="583">
        <f>VLOOKUP($A147,'Pre-Assessment Estimator'!$A$10:$Z$228,V$2,FALSE)</f>
        <v>0</v>
      </c>
      <c r="W147" s="582" t="str">
        <f>VLOOKUP($A147,'Pre-Assessment Estimator'!$A$10:$Z$228,W$2,FALSE)</f>
        <v>Credits achieved: 0</v>
      </c>
      <c r="X147" s="1202" t="str">
        <f>IF(VLOOKUP($A147,'Pre-Assessment Estimator'!$A$10:$Z$228,X$2,FALSE)=0,"",VLOOKUP($A147,'Pre-Assessment Estimator'!$A$10:$Z$228,X$2,FALSE))</f>
        <v/>
      </c>
      <c r="Y147" s="1202" t="str">
        <f>IF(VLOOKUP($A147,'Pre-Assessment Estimator'!$A$10:$Z$228,Y$2,FALSE)=0,"",VLOOKUP($A147,'Pre-Assessment Estimator'!$A$10:$Z$228,Y$2,FALSE))</f>
        <v/>
      </c>
      <c r="Z147" s="1224" t="str">
        <f>IF(VLOOKUP($A147,'Pre-Assessment Estimator'!$A$10:$Z$228,Z$2,FALSE)=0,"",VLOOKUP($A147,'Pre-Assessment Estimator'!$A$10:$Z$228,Z$2,FALSE))</f>
        <v/>
      </c>
      <c r="AA147" s="696">
        <v>135</v>
      </c>
      <c r="AB147" s="697" t="str">
        <f>IF(VLOOKUP($A147,'Pre-Assessment Estimator'!$A$10:$AB$228,AB$2,FALSE)=0,"",VLOOKUP($A147,'Pre-Assessment Estimator'!$A$10:$AB$228,AB$2,FALSE))</f>
        <v/>
      </c>
      <c r="AF147" s="386">
        <f t="shared" si="2"/>
        <v>1</v>
      </c>
    </row>
    <row r="148" spans="1:32" x14ac:dyDescent="0.25">
      <c r="A148" s="823">
        <v>139</v>
      </c>
      <c r="B148" s="1234" t="s">
        <v>68</v>
      </c>
      <c r="C148" s="1234"/>
      <c r="D148" s="585"/>
      <c r="E148" s="585"/>
      <c r="F148" s="586"/>
      <c r="G148" s="586"/>
      <c r="H148" s="586"/>
      <c r="I148" s="586"/>
      <c r="J148" s="585"/>
      <c r="K148" s="586"/>
      <c r="L148" s="585"/>
      <c r="M148" s="579"/>
      <c r="N148" s="586"/>
      <c r="O148" s="586"/>
      <c r="P148" s="586"/>
      <c r="Q148" s="585"/>
      <c r="R148" s="586"/>
      <c r="S148" s="585"/>
      <c r="T148" s="581"/>
      <c r="U148" s="586"/>
      <c r="V148" s="586"/>
      <c r="W148" s="586"/>
      <c r="X148" s="585"/>
      <c r="Y148" s="586"/>
      <c r="Z148" s="343"/>
      <c r="AA148" s="696">
        <v>136</v>
      </c>
      <c r="AB148" s="577" t="str">
        <f>IF(VLOOKUP($A148,'Pre-Assessment Estimator'!$A$10:$AB$228,AB$2,FALSE)=0,"",VLOOKUP($A148,'Pre-Assessment Estimator'!$A$10:$AB$228,AB$2,FALSE))</f>
        <v/>
      </c>
      <c r="AF148" s="386">
        <f t="shared" ref="AF148:AF212" si="3">IF(F148="",1,IF(F148=0,2,1))</f>
        <v>1</v>
      </c>
    </row>
    <row r="149" spans="1:32" ht="18.75" x14ac:dyDescent="0.25">
      <c r="A149" s="823">
        <v>140</v>
      </c>
      <c r="B149" s="1234" t="s">
        <v>68</v>
      </c>
      <c r="C149" s="1234"/>
      <c r="D149" s="587"/>
      <c r="E149" s="587" t="s">
        <v>68</v>
      </c>
      <c r="F149" s="570"/>
      <c r="G149" s="570"/>
      <c r="H149" s="570"/>
      <c r="I149" s="570"/>
      <c r="J149" s="571"/>
      <c r="K149" s="570"/>
      <c r="L149" s="571"/>
      <c r="M149" s="579"/>
      <c r="N149" s="570"/>
      <c r="O149" s="570"/>
      <c r="P149" s="570"/>
      <c r="Q149" s="571"/>
      <c r="R149" s="570"/>
      <c r="S149" s="571"/>
      <c r="T149" s="581"/>
      <c r="U149" s="570"/>
      <c r="V149" s="570"/>
      <c r="W149" s="570"/>
      <c r="X149" s="571"/>
      <c r="Y149" s="570"/>
      <c r="Z149" s="411"/>
      <c r="AA149" s="696">
        <v>137</v>
      </c>
      <c r="AB149" s="577"/>
      <c r="AF149" s="386">
        <f t="shared" si="3"/>
        <v>1</v>
      </c>
    </row>
    <row r="150" spans="1:32" x14ac:dyDescent="0.25">
      <c r="A150" s="823">
        <v>141</v>
      </c>
      <c r="B150" s="1234" t="s">
        <v>68</v>
      </c>
      <c r="C150" s="1234"/>
      <c r="D150" s="1256" t="str">
        <f>VLOOKUP($A150,'Pre-Assessment Estimator'!$A$10:$Z$228,D$2,FALSE)</f>
        <v>Wst 01</v>
      </c>
      <c r="E150" s="1256" t="str">
        <f>VLOOKUP($A150,'Pre-Assessment Estimator'!$A$10:$Z$228,E$2,FALSE)</f>
        <v>Wst 01 Construction waste management</v>
      </c>
      <c r="F150" s="574">
        <f>VLOOKUP($A150,'Pre-Assessment Estimator'!$A$10:$Z$228,F$2,FALSE)</f>
        <v>5</v>
      </c>
      <c r="G150" s="580" t="str">
        <f>IF(VLOOKUP($A150,'Pre-Assessment Estimator'!$A$10:$Z$228,G$2,FALSE)=0,"",VLOOKUP($A150,'Pre-Assessment Estimator'!$A$10:$Z$228,G$2,FALSE))</f>
        <v/>
      </c>
      <c r="H150" s="1220" t="str">
        <f>VLOOKUP($A150,'Pre-Assessment Estimator'!$A$10:$Z$228,H$2,FALSE)</f>
        <v>0 c. 0 %</v>
      </c>
      <c r="I150" s="576" t="str">
        <f>VLOOKUP($A150,'Pre-Assessment Estimator'!$A$10:$Z$228,I$2,FALSE)</f>
        <v>N/A</v>
      </c>
      <c r="J150" s="577" t="str">
        <f>IF(VLOOKUP($A150,'Pre-Assessment Estimator'!$A$10:$Z$228,J$2,FALSE)=0,"",VLOOKUP($A150,'Pre-Assessment Estimator'!$A$10:$Z$228,J$2,FALSE))</f>
        <v/>
      </c>
      <c r="K150" s="577" t="str">
        <f>IF(VLOOKUP($A150,'Pre-Assessment Estimator'!$A$10:$Z$228,K$2,FALSE)=0,"",VLOOKUP($A150,'Pre-Assessment Estimator'!$A$10:$Z$228,K$2,FALSE))</f>
        <v/>
      </c>
      <c r="L150" s="578" t="str">
        <f>IF(VLOOKUP($A150,'Pre-Assessment Estimator'!$A$10:$Z$228,L$2,FALSE)=0,"",VLOOKUP($A150,'Pre-Assessment Estimator'!$A$10:$Z$228,L$2,FALSE))</f>
        <v/>
      </c>
      <c r="M150" s="579"/>
      <c r="N150" s="580" t="str">
        <f>IF(VLOOKUP($A150,'Pre-Assessment Estimator'!$A$10:$Z$228,N$2,FALSE)=0,"",VLOOKUP($A150,'Pre-Assessment Estimator'!$A$10:$Z$228,N$2,FALSE))</f>
        <v/>
      </c>
      <c r="O150" s="575" t="str">
        <f>VLOOKUP($A150,'Pre-Assessment Estimator'!$A$10:$Z$228,O$2,FALSE)</f>
        <v>0 c. 0 %</v>
      </c>
      <c r="P150" s="574" t="str">
        <f>VLOOKUP($A150,'Pre-Assessment Estimator'!$A$10:$Z$228,P$2,FALSE)</f>
        <v>N/A</v>
      </c>
      <c r="Q150" s="577" t="str">
        <f>IF(VLOOKUP($A150,'Pre-Assessment Estimator'!$A$10:$Z$228,Q$2,FALSE)=0,"",VLOOKUP($A150,'Pre-Assessment Estimator'!$A$10:$Z$228,Q$2,FALSE))</f>
        <v/>
      </c>
      <c r="R150" s="577" t="str">
        <f>IF(VLOOKUP($A150,'Pre-Assessment Estimator'!$A$10:$Z$228,R$2,FALSE)=0,"",VLOOKUP($A150,'Pre-Assessment Estimator'!$A$10:$Z$228,R$2,FALSE))</f>
        <v/>
      </c>
      <c r="S150" s="578" t="str">
        <f>IF(VLOOKUP($A150,'Pre-Assessment Estimator'!$A$10:$Z$228,S$2,FALSE)=0,"",VLOOKUP($A150,'Pre-Assessment Estimator'!$A$10:$Z$228,S$2,FALSE))</f>
        <v/>
      </c>
      <c r="T150" s="581"/>
      <c r="U150" s="580" t="str">
        <f>IF(VLOOKUP($A150,'Pre-Assessment Estimator'!$A$10:$Z$228,U$2,FALSE)=0,"",VLOOKUP($A150,'Pre-Assessment Estimator'!$A$10:$Z$228,U$2,FALSE))</f>
        <v/>
      </c>
      <c r="V150" s="575" t="str">
        <f>VLOOKUP($A150,'Pre-Assessment Estimator'!$A$10:$Z$228,V$2,FALSE)</f>
        <v>0 c. 0 %</v>
      </c>
      <c r="W150" s="574" t="str">
        <f>VLOOKUP($A150,'Pre-Assessment Estimator'!$A$10:$Z$228,W$2,FALSE)</f>
        <v>N/A</v>
      </c>
      <c r="X150" s="577" t="str">
        <f>IF(VLOOKUP($A150,'Pre-Assessment Estimator'!$A$10:$Z$228,X$2,FALSE)=0,"",VLOOKUP($A150,'Pre-Assessment Estimator'!$A$10:$Z$228,X$2,FALSE))</f>
        <v/>
      </c>
      <c r="Y150" s="577" t="str">
        <f>IF(VLOOKUP($A150,'Pre-Assessment Estimator'!$A$10:$Z$228,Y$2,FALSE)=0,"",VLOOKUP($A150,'Pre-Assessment Estimator'!$A$10:$Z$228,Y$2,FALSE))</f>
        <v/>
      </c>
      <c r="Z150" s="370" t="str">
        <f>IF(VLOOKUP($A150,'Pre-Assessment Estimator'!$A$10:$Z$228,Z$2,FALSE)=0,"",VLOOKUP($A150,'Pre-Assessment Estimator'!$A$10:$Z$228,Z$2,FALSE))</f>
        <v/>
      </c>
      <c r="AA150" s="696">
        <v>138</v>
      </c>
      <c r="AB150" s="577"/>
      <c r="AF150" s="386">
        <f t="shared" si="3"/>
        <v>1</v>
      </c>
    </row>
    <row r="151" spans="1:32" x14ac:dyDescent="0.25">
      <c r="A151" s="823">
        <v>142</v>
      </c>
      <c r="B151" s="1234" t="s">
        <v>68</v>
      </c>
      <c r="C151" s="1234"/>
      <c r="D151" s="1257" t="str">
        <f>VLOOKUP($A151,'Pre-Assessment Estimator'!$A$10:$Z$228,D$2,FALSE)</f>
        <v>Wst 01</v>
      </c>
      <c r="E151" s="1258" t="str">
        <f>VLOOKUP($A151,'Pre-Assessment Estimator'!$A$10:$Z$228,E$2,FALSE)</f>
        <v>Resource managment plan</v>
      </c>
      <c r="F151" s="574">
        <f>VLOOKUP($A151,'Pre-Assessment Estimator'!$A$10:$Z$228,F$2,FALSE)</f>
        <v>1</v>
      </c>
      <c r="G151" s="580" t="str">
        <f>IF(VLOOKUP($A151,'Pre-Assessment Estimator'!$A$10:$Z$228,G$2,FALSE)=0,"",VLOOKUP($A151,'Pre-Assessment Estimator'!$A$10:$Z$228,G$2,FALSE))</f>
        <v/>
      </c>
      <c r="H151" s="1220">
        <f>VLOOKUP($A151,'Pre-Assessment Estimator'!$A$10:$Z$228,H$2,FALSE)</f>
        <v>0</v>
      </c>
      <c r="I151" s="576" t="str">
        <f>VLOOKUP($A151,'Pre-Assessment Estimator'!$A$10:$Z$228,I$2,FALSE)</f>
        <v>Good</v>
      </c>
      <c r="J151" s="577" t="str">
        <f>IF(VLOOKUP($A151,'Pre-Assessment Estimator'!$A$10:$Z$228,J$2,FALSE)=0,"",VLOOKUP($A151,'Pre-Assessment Estimator'!$A$10:$Z$228,J$2,FALSE))</f>
        <v/>
      </c>
      <c r="K151" s="577" t="str">
        <f>IF(VLOOKUP($A151,'Pre-Assessment Estimator'!$A$10:$Z$228,K$2,FALSE)=0,"",VLOOKUP($A151,'Pre-Assessment Estimator'!$A$10:$Z$228,K$2,FALSE))</f>
        <v/>
      </c>
      <c r="L151" s="578" t="str">
        <f>IF(VLOOKUP($A151,'Pre-Assessment Estimator'!$A$10:$Z$228,L$2,FALSE)=0,"",VLOOKUP($A151,'Pre-Assessment Estimator'!$A$10:$Z$228,L$2,FALSE))</f>
        <v/>
      </c>
      <c r="M151" s="579"/>
      <c r="N151" s="580" t="str">
        <f>IF(VLOOKUP($A151,'Pre-Assessment Estimator'!$A$10:$Z$228,N$2,FALSE)=0,"",VLOOKUP($A151,'Pre-Assessment Estimator'!$A$10:$Z$228,N$2,FALSE))</f>
        <v/>
      </c>
      <c r="O151" s="575">
        <f>VLOOKUP($A151,'Pre-Assessment Estimator'!$A$10:$Z$228,O$2,FALSE)</f>
        <v>0</v>
      </c>
      <c r="P151" s="574" t="str">
        <f>VLOOKUP($A151,'Pre-Assessment Estimator'!$A$10:$Z$228,P$2,FALSE)</f>
        <v>Good</v>
      </c>
      <c r="Q151" s="577" t="str">
        <f>IF(VLOOKUP($A151,'Pre-Assessment Estimator'!$A$10:$Z$228,Q$2,FALSE)=0,"",VLOOKUP($A151,'Pre-Assessment Estimator'!$A$10:$Z$228,Q$2,FALSE))</f>
        <v/>
      </c>
      <c r="R151" s="577" t="str">
        <f>IF(VLOOKUP($A151,'Pre-Assessment Estimator'!$A$10:$Z$228,R$2,FALSE)=0,"",VLOOKUP($A151,'Pre-Assessment Estimator'!$A$10:$Z$228,R$2,FALSE))</f>
        <v/>
      </c>
      <c r="S151" s="578" t="str">
        <f>IF(VLOOKUP($A151,'Pre-Assessment Estimator'!$A$10:$Z$228,S$2,FALSE)=0,"",VLOOKUP($A151,'Pre-Assessment Estimator'!$A$10:$Z$228,S$2,FALSE))</f>
        <v/>
      </c>
      <c r="T151" s="581"/>
      <c r="U151" s="580" t="str">
        <f>IF(VLOOKUP($A151,'Pre-Assessment Estimator'!$A$10:$Z$228,U$2,FALSE)=0,"",VLOOKUP($A151,'Pre-Assessment Estimator'!$A$10:$Z$228,U$2,FALSE))</f>
        <v/>
      </c>
      <c r="V151" s="575">
        <f>VLOOKUP($A151,'Pre-Assessment Estimator'!$A$10:$Z$228,V$2,FALSE)</f>
        <v>0</v>
      </c>
      <c r="W151" s="574" t="str">
        <f>VLOOKUP($A151,'Pre-Assessment Estimator'!$A$10:$Z$228,W$2,FALSE)</f>
        <v>Good</v>
      </c>
      <c r="X151" s="577" t="str">
        <f>IF(VLOOKUP($A151,'Pre-Assessment Estimator'!$A$10:$Z$228,X$2,FALSE)=0,"",VLOOKUP($A151,'Pre-Assessment Estimator'!$A$10:$Z$228,X$2,FALSE))</f>
        <v/>
      </c>
      <c r="Y151" s="577" t="str">
        <f>IF(VLOOKUP($A151,'Pre-Assessment Estimator'!$A$10:$Z$228,Y$2,FALSE)=0,"",VLOOKUP($A151,'Pre-Assessment Estimator'!$A$10:$Z$228,Y$2,FALSE))</f>
        <v/>
      </c>
      <c r="Z151" s="370" t="str">
        <f>IF(VLOOKUP($A151,'Pre-Assessment Estimator'!$A$10:$Z$228,Z$2,FALSE)=0,"",VLOOKUP($A151,'Pre-Assessment Estimator'!$A$10:$Z$228,Z$2,FALSE))</f>
        <v/>
      </c>
      <c r="AA151" s="696">
        <v>139</v>
      </c>
      <c r="AB151" s="577"/>
      <c r="AF151" s="386">
        <f t="shared" si="3"/>
        <v>1</v>
      </c>
    </row>
    <row r="152" spans="1:32" x14ac:dyDescent="0.25">
      <c r="A152" s="823">
        <v>143</v>
      </c>
      <c r="B152" s="1234" t="s">
        <v>68</v>
      </c>
      <c r="C152" s="1234"/>
      <c r="D152" s="1257" t="str">
        <f>VLOOKUP($A152,'Pre-Assessment Estimator'!$A$10:$Z$228,D$2,FALSE)</f>
        <v>Wst 01</v>
      </c>
      <c r="E152" s="1260" t="str">
        <f>VLOOKUP($A152,'Pre-Assessment Estimator'!$A$10:$Z$228,E$2,FALSE)</f>
        <v>EU taxonomy requirement: criterion 1</v>
      </c>
      <c r="F152" s="574" t="str">
        <f>VLOOKUP($A152,'Pre-Assessment Estimator'!$A$10:$Z$228,F$2,FALSE)</f>
        <v>Yes/No</v>
      </c>
      <c r="G152" s="580" t="str">
        <f>IF(VLOOKUP($A152,'Pre-Assessment Estimator'!$A$10:$Z$228,G$2,FALSE)=0,"",VLOOKUP($A152,'Pre-Assessment Estimator'!$A$10:$Z$228,G$2,FALSE))</f>
        <v/>
      </c>
      <c r="H152" s="1220" t="str">
        <f>VLOOKUP($A152,'Pre-Assessment Estimator'!$A$10:$Z$228,H$2,FALSE)</f>
        <v>-</v>
      </c>
      <c r="I152" s="576" t="str">
        <f>VLOOKUP($A152,'Pre-Assessment Estimator'!$A$10:$Z$228,I$2,FALSE)</f>
        <v>N/A</v>
      </c>
      <c r="J152" s="577" t="str">
        <f>IF(VLOOKUP($A152,'Pre-Assessment Estimator'!$A$10:$Z$228,J$2,FALSE)=0,"",VLOOKUP($A152,'Pre-Assessment Estimator'!$A$10:$Z$228,J$2,FALSE))</f>
        <v/>
      </c>
      <c r="K152" s="577" t="str">
        <f>IF(VLOOKUP($A152,'Pre-Assessment Estimator'!$A$10:$Z$228,K$2,FALSE)=0,"",VLOOKUP($A152,'Pre-Assessment Estimator'!$A$10:$Z$228,K$2,FALSE))</f>
        <v/>
      </c>
      <c r="L152" s="578" t="str">
        <f>IF(VLOOKUP($A152,'Pre-Assessment Estimator'!$A$10:$Z$228,L$2,FALSE)=0,"",VLOOKUP($A152,'Pre-Assessment Estimator'!$A$10:$Z$228,L$2,FALSE))</f>
        <v/>
      </c>
      <c r="M152" s="579"/>
      <c r="N152" s="580" t="str">
        <f>IF(VLOOKUP($A152,'Pre-Assessment Estimator'!$A$10:$Z$228,N$2,FALSE)=0,"",VLOOKUP($A152,'Pre-Assessment Estimator'!$A$10:$Z$228,N$2,FALSE))</f>
        <v/>
      </c>
      <c r="O152" s="575" t="str">
        <f>VLOOKUP($A152,'Pre-Assessment Estimator'!$A$10:$Z$228,O$2,FALSE)</f>
        <v>-</v>
      </c>
      <c r="P152" s="574" t="str">
        <f>VLOOKUP($A152,'Pre-Assessment Estimator'!$A$10:$Z$228,P$2,FALSE)</f>
        <v>N/A</v>
      </c>
      <c r="Q152" s="577" t="str">
        <f>IF(VLOOKUP($A152,'Pre-Assessment Estimator'!$A$10:$Z$228,Q$2,FALSE)=0,"",VLOOKUP($A152,'Pre-Assessment Estimator'!$A$10:$Z$228,Q$2,FALSE))</f>
        <v/>
      </c>
      <c r="R152" s="577" t="str">
        <f>IF(VLOOKUP($A152,'Pre-Assessment Estimator'!$A$10:$Z$228,R$2,FALSE)=0,"",VLOOKUP($A152,'Pre-Assessment Estimator'!$A$10:$Z$228,R$2,FALSE))</f>
        <v/>
      </c>
      <c r="S152" s="578" t="str">
        <f>IF(VLOOKUP($A152,'Pre-Assessment Estimator'!$A$10:$Z$228,S$2,FALSE)=0,"",VLOOKUP($A152,'Pre-Assessment Estimator'!$A$10:$Z$228,S$2,FALSE))</f>
        <v/>
      </c>
      <c r="T152" s="581"/>
      <c r="U152" s="580" t="str">
        <f>IF(VLOOKUP($A152,'Pre-Assessment Estimator'!$A$10:$Z$228,U$2,FALSE)=0,"",VLOOKUP($A152,'Pre-Assessment Estimator'!$A$10:$Z$228,U$2,FALSE))</f>
        <v/>
      </c>
      <c r="V152" s="575" t="str">
        <f>VLOOKUP($A152,'Pre-Assessment Estimator'!$A$10:$Z$228,V$2,FALSE)</f>
        <v>-</v>
      </c>
      <c r="W152" s="574" t="str">
        <f>VLOOKUP($A152,'Pre-Assessment Estimator'!$A$10:$Z$228,W$2,FALSE)</f>
        <v>N/A</v>
      </c>
      <c r="X152" s="577" t="str">
        <f>IF(VLOOKUP($A152,'Pre-Assessment Estimator'!$A$10:$Z$228,X$2,FALSE)=0,"",VLOOKUP($A152,'Pre-Assessment Estimator'!$A$10:$Z$228,X$2,FALSE))</f>
        <v/>
      </c>
      <c r="Y152" s="577" t="str">
        <f>IF(VLOOKUP($A152,'Pre-Assessment Estimator'!$A$10:$Z$228,Y$2,FALSE)=0,"",VLOOKUP($A152,'Pre-Assessment Estimator'!$A$10:$Z$228,Y$2,FALSE))</f>
        <v/>
      </c>
      <c r="Z152" s="370" t="str">
        <f>IF(VLOOKUP($A152,'Pre-Assessment Estimator'!$A$10:$Z$228,Z$2,FALSE)=0,"",VLOOKUP($A152,'Pre-Assessment Estimator'!$A$10:$Z$228,Z$2,FALSE))</f>
        <v/>
      </c>
      <c r="AA152" s="696">
        <v>140</v>
      </c>
      <c r="AB152" s="577"/>
      <c r="AF152" s="386">
        <f t="shared" si="3"/>
        <v>1</v>
      </c>
    </row>
    <row r="153" spans="1:32" x14ac:dyDescent="0.25">
      <c r="A153" s="823">
        <v>144</v>
      </c>
      <c r="B153" s="1234" t="s">
        <v>68</v>
      </c>
      <c r="C153" s="1234"/>
      <c r="D153" s="1257" t="str">
        <f>VLOOKUP($A153,'Pre-Assessment Estimator'!$A$10:$Z$228,D$2,FALSE)</f>
        <v>Wst 01</v>
      </c>
      <c r="E153" s="1258" t="str">
        <f>VLOOKUP($A153,'Pre-Assessment Estimator'!$A$10:$Z$228,E$2,FALSE)</f>
        <v>Amount of construction waste</v>
      </c>
      <c r="F153" s="574">
        <f>VLOOKUP($A153,'Pre-Assessment Estimator'!$A$10:$Z$228,F$2,FALSE)</f>
        <v>2</v>
      </c>
      <c r="G153" s="580" t="str">
        <f>IF(VLOOKUP($A153,'Pre-Assessment Estimator'!$A$10:$Z$228,G$2,FALSE)=0,"",VLOOKUP($A153,'Pre-Assessment Estimator'!$A$10:$Z$228,G$2,FALSE))</f>
        <v/>
      </c>
      <c r="H153" s="1220">
        <f>VLOOKUP($A153,'Pre-Assessment Estimator'!$A$10:$Z$228,H$2,FALSE)</f>
        <v>0</v>
      </c>
      <c r="I153" s="576" t="str">
        <f>VLOOKUP($A153,'Pre-Assessment Estimator'!$A$10:$Z$228,I$2,FALSE)</f>
        <v>Excellent</v>
      </c>
      <c r="J153" s="577" t="str">
        <f>IF(VLOOKUP($A153,'Pre-Assessment Estimator'!$A$10:$Z$228,J$2,FALSE)=0,"",VLOOKUP($A153,'Pre-Assessment Estimator'!$A$10:$Z$228,J$2,FALSE))</f>
        <v/>
      </c>
      <c r="K153" s="577" t="str">
        <f>IF(VLOOKUP($A153,'Pre-Assessment Estimator'!$A$10:$Z$228,K$2,FALSE)=0,"",VLOOKUP($A153,'Pre-Assessment Estimator'!$A$10:$Z$228,K$2,FALSE))</f>
        <v/>
      </c>
      <c r="L153" s="578" t="str">
        <f>IF(VLOOKUP($A153,'Pre-Assessment Estimator'!$A$10:$Z$228,L$2,FALSE)=0,"",VLOOKUP($A153,'Pre-Assessment Estimator'!$A$10:$Z$228,L$2,FALSE))</f>
        <v/>
      </c>
      <c r="M153" s="579"/>
      <c r="N153" s="580" t="str">
        <f>IF(VLOOKUP($A153,'Pre-Assessment Estimator'!$A$10:$Z$228,N$2,FALSE)=0,"",VLOOKUP($A153,'Pre-Assessment Estimator'!$A$10:$Z$228,N$2,FALSE))</f>
        <v/>
      </c>
      <c r="O153" s="575">
        <f>VLOOKUP($A153,'Pre-Assessment Estimator'!$A$10:$Z$228,O$2,FALSE)</f>
        <v>0</v>
      </c>
      <c r="P153" s="574" t="str">
        <f>VLOOKUP($A153,'Pre-Assessment Estimator'!$A$10:$Z$228,P$2,FALSE)</f>
        <v>Excellent</v>
      </c>
      <c r="Q153" s="577" t="str">
        <f>IF(VLOOKUP($A153,'Pre-Assessment Estimator'!$A$10:$Z$228,Q$2,FALSE)=0,"",VLOOKUP($A153,'Pre-Assessment Estimator'!$A$10:$Z$228,Q$2,FALSE))</f>
        <v/>
      </c>
      <c r="R153" s="577" t="str">
        <f>IF(VLOOKUP($A153,'Pre-Assessment Estimator'!$A$10:$Z$228,R$2,FALSE)=0,"",VLOOKUP($A153,'Pre-Assessment Estimator'!$A$10:$Z$228,R$2,FALSE))</f>
        <v/>
      </c>
      <c r="S153" s="578" t="str">
        <f>IF(VLOOKUP($A153,'Pre-Assessment Estimator'!$A$10:$Z$228,S$2,FALSE)=0,"",VLOOKUP($A153,'Pre-Assessment Estimator'!$A$10:$Z$228,S$2,FALSE))</f>
        <v/>
      </c>
      <c r="T153" s="581"/>
      <c r="U153" s="580" t="str">
        <f>IF(VLOOKUP($A153,'Pre-Assessment Estimator'!$A$10:$Z$228,U$2,FALSE)=0,"",VLOOKUP($A153,'Pre-Assessment Estimator'!$A$10:$Z$228,U$2,FALSE))</f>
        <v/>
      </c>
      <c r="V153" s="575">
        <f>VLOOKUP($A153,'Pre-Assessment Estimator'!$A$10:$Z$228,V$2,FALSE)</f>
        <v>0</v>
      </c>
      <c r="W153" s="574" t="str">
        <f>VLOOKUP($A153,'Pre-Assessment Estimator'!$A$10:$Z$228,W$2,FALSE)</f>
        <v>Excellent</v>
      </c>
      <c r="X153" s="577" t="str">
        <f>IF(VLOOKUP($A153,'Pre-Assessment Estimator'!$A$10:$Z$228,X$2,FALSE)=0,"",VLOOKUP($A153,'Pre-Assessment Estimator'!$A$10:$Z$228,X$2,FALSE))</f>
        <v/>
      </c>
      <c r="Y153" s="577" t="str">
        <f>IF(VLOOKUP($A153,'Pre-Assessment Estimator'!$A$10:$Z$228,Y$2,FALSE)=0,"",VLOOKUP($A153,'Pre-Assessment Estimator'!$A$10:$Z$228,Y$2,FALSE))</f>
        <v/>
      </c>
      <c r="Z153" s="370" t="str">
        <f>IF(VLOOKUP($A153,'Pre-Assessment Estimator'!$A$10:$Z$228,Z$2,FALSE)=0,"",VLOOKUP($A153,'Pre-Assessment Estimator'!$A$10:$Z$228,Z$2,FALSE))</f>
        <v/>
      </c>
      <c r="AA153" s="696">
        <v>141</v>
      </c>
      <c r="AB153" s="577"/>
      <c r="AF153" s="386">
        <f t="shared" si="3"/>
        <v>1</v>
      </c>
    </row>
    <row r="154" spans="1:32" x14ac:dyDescent="0.25">
      <c r="A154" s="823">
        <v>145</v>
      </c>
      <c r="B154" s="1234" t="s">
        <v>68</v>
      </c>
      <c r="C154" s="1234"/>
      <c r="D154" s="1257" t="str">
        <f>VLOOKUP($A154,'Pre-Assessment Estimator'!$A$10:$Z$228,D$2,FALSE)</f>
        <v>Wst 01</v>
      </c>
      <c r="E154" s="1258" t="str">
        <f>VLOOKUP($A154,'Pre-Assessment Estimator'!$A$10:$Z$228,E$2,FALSE)</f>
        <v>Waste sorting, reuse and recycling</v>
      </c>
      <c r="F154" s="574">
        <f>VLOOKUP($A154,'Pre-Assessment Estimator'!$A$10:$Z$228,F$2,FALSE)</f>
        <v>2</v>
      </c>
      <c r="G154" s="580" t="str">
        <f>IF(VLOOKUP($A154,'Pre-Assessment Estimator'!$A$10:$Z$228,G$2,FALSE)=0,"",VLOOKUP($A154,'Pre-Assessment Estimator'!$A$10:$Z$228,G$2,FALSE))</f>
        <v/>
      </c>
      <c r="H154" s="1220">
        <f>VLOOKUP($A154,'Pre-Assessment Estimator'!$A$10:$Z$228,H$2,FALSE)</f>
        <v>0</v>
      </c>
      <c r="I154" s="576" t="str">
        <f>VLOOKUP($A154,'Pre-Assessment Estimator'!$A$10:$Z$228,I$2,FALSE)</f>
        <v>Very Good</v>
      </c>
      <c r="J154" s="577" t="str">
        <f>IF(VLOOKUP($A154,'Pre-Assessment Estimator'!$A$10:$Z$228,J$2,FALSE)=0,"",VLOOKUP($A154,'Pre-Assessment Estimator'!$A$10:$Z$228,J$2,FALSE))</f>
        <v/>
      </c>
      <c r="K154" s="577" t="str">
        <f>IF(VLOOKUP($A154,'Pre-Assessment Estimator'!$A$10:$Z$228,K$2,FALSE)=0,"",VLOOKUP($A154,'Pre-Assessment Estimator'!$A$10:$Z$228,K$2,FALSE))</f>
        <v/>
      </c>
      <c r="L154" s="578" t="str">
        <f>IF(VLOOKUP($A154,'Pre-Assessment Estimator'!$A$10:$Z$228,L$2,FALSE)=0,"",VLOOKUP($A154,'Pre-Assessment Estimator'!$A$10:$Z$228,L$2,FALSE))</f>
        <v/>
      </c>
      <c r="M154" s="579"/>
      <c r="N154" s="580" t="str">
        <f>IF(VLOOKUP($A154,'Pre-Assessment Estimator'!$A$10:$Z$228,N$2,FALSE)=0,"",VLOOKUP($A154,'Pre-Assessment Estimator'!$A$10:$Z$228,N$2,FALSE))</f>
        <v/>
      </c>
      <c r="O154" s="575">
        <f>VLOOKUP($A154,'Pre-Assessment Estimator'!$A$10:$Z$228,O$2,FALSE)</f>
        <v>0</v>
      </c>
      <c r="P154" s="574" t="str">
        <f>VLOOKUP($A154,'Pre-Assessment Estimator'!$A$10:$Z$228,P$2,FALSE)</f>
        <v>Very Good</v>
      </c>
      <c r="Q154" s="577" t="str">
        <f>IF(VLOOKUP($A154,'Pre-Assessment Estimator'!$A$10:$Z$228,Q$2,FALSE)=0,"",VLOOKUP($A154,'Pre-Assessment Estimator'!$A$10:$Z$228,Q$2,FALSE))</f>
        <v/>
      </c>
      <c r="R154" s="577" t="str">
        <f>IF(VLOOKUP($A154,'Pre-Assessment Estimator'!$A$10:$Z$228,R$2,FALSE)=0,"",VLOOKUP($A154,'Pre-Assessment Estimator'!$A$10:$Z$228,R$2,FALSE))</f>
        <v/>
      </c>
      <c r="S154" s="578" t="str">
        <f>IF(VLOOKUP($A154,'Pre-Assessment Estimator'!$A$10:$Z$228,S$2,FALSE)=0,"",VLOOKUP($A154,'Pre-Assessment Estimator'!$A$10:$Z$228,S$2,FALSE))</f>
        <v/>
      </c>
      <c r="T154" s="581"/>
      <c r="U154" s="580" t="str">
        <f>IF(VLOOKUP($A154,'Pre-Assessment Estimator'!$A$10:$Z$228,U$2,FALSE)=0,"",VLOOKUP($A154,'Pre-Assessment Estimator'!$A$10:$Z$228,U$2,FALSE))</f>
        <v/>
      </c>
      <c r="V154" s="575">
        <f>VLOOKUP($A154,'Pre-Assessment Estimator'!$A$10:$Z$228,V$2,FALSE)</f>
        <v>0</v>
      </c>
      <c r="W154" s="574" t="str">
        <f>VLOOKUP($A154,'Pre-Assessment Estimator'!$A$10:$Z$228,W$2,FALSE)</f>
        <v>Very Good</v>
      </c>
      <c r="X154" s="577" t="str">
        <f>IF(VLOOKUP($A154,'Pre-Assessment Estimator'!$A$10:$Z$228,X$2,FALSE)=0,"",VLOOKUP($A154,'Pre-Assessment Estimator'!$A$10:$Z$228,X$2,FALSE))</f>
        <v/>
      </c>
      <c r="Y154" s="577" t="str">
        <f>IF(VLOOKUP($A154,'Pre-Assessment Estimator'!$A$10:$Z$228,Y$2,FALSE)=0,"",VLOOKUP($A154,'Pre-Assessment Estimator'!$A$10:$Z$228,Y$2,FALSE))</f>
        <v/>
      </c>
      <c r="Z154" s="370" t="str">
        <f>IF(VLOOKUP($A154,'Pre-Assessment Estimator'!$A$10:$Z$228,Z$2,FALSE)=0,"",VLOOKUP($A154,'Pre-Assessment Estimator'!$A$10:$Z$228,Z$2,FALSE))</f>
        <v/>
      </c>
      <c r="AA154" s="696">
        <v>142</v>
      </c>
      <c r="AB154" s="577"/>
      <c r="AF154" s="386">
        <f t="shared" si="3"/>
        <v>1</v>
      </c>
    </row>
    <row r="155" spans="1:32" x14ac:dyDescent="0.25">
      <c r="A155" s="823">
        <v>146</v>
      </c>
      <c r="B155" s="1234" t="s">
        <v>68</v>
      </c>
      <c r="C155" s="1234"/>
      <c r="D155" s="1257" t="str">
        <f>VLOOKUP($A155,'Pre-Assessment Estimator'!$A$10:$Z$228,D$2,FALSE)</f>
        <v>Wst 01</v>
      </c>
      <c r="E155" s="1260" t="str">
        <f>VLOOKUP($A155,'Pre-Assessment Estimator'!$A$10:$Z$228,E$2,FALSE)</f>
        <v>EU taxonomy requirement: criterion 4, ready for reuse &gt;70%</v>
      </c>
      <c r="F155" s="574" t="str">
        <f>VLOOKUP($A155,'Pre-Assessment Estimator'!$A$10:$Z$228,F$2,FALSE)</f>
        <v>Yes/No</v>
      </c>
      <c r="G155" s="580" t="str">
        <f>IF(VLOOKUP($A155,'Pre-Assessment Estimator'!$A$10:$Z$228,G$2,FALSE)=0,"",VLOOKUP($A155,'Pre-Assessment Estimator'!$A$10:$Z$228,G$2,FALSE))</f>
        <v/>
      </c>
      <c r="H155" s="1220" t="str">
        <f>VLOOKUP($A155,'Pre-Assessment Estimator'!$A$10:$Z$228,H$2,FALSE)</f>
        <v>-</v>
      </c>
      <c r="I155" s="576" t="str">
        <f>VLOOKUP($A155,'Pre-Assessment Estimator'!$A$10:$Z$228,I$2,FALSE)</f>
        <v>Very Good</v>
      </c>
      <c r="J155" s="577" t="str">
        <f>IF(VLOOKUP($A155,'Pre-Assessment Estimator'!$A$10:$Z$228,J$2,FALSE)=0,"",VLOOKUP($A155,'Pre-Assessment Estimator'!$A$10:$Z$228,J$2,FALSE))</f>
        <v/>
      </c>
      <c r="K155" s="577" t="str">
        <f>IF(VLOOKUP($A155,'Pre-Assessment Estimator'!$A$10:$Z$228,K$2,FALSE)=0,"",VLOOKUP($A155,'Pre-Assessment Estimator'!$A$10:$Z$228,K$2,FALSE))</f>
        <v/>
      </c>
      <c r="L155" s="578" t="str">
        <f>IF(VLOOKUP($A155,'Pre-Assessment Estimator'!$A$10:$Z$228,L$2,FALSE)=0,"",VLOOKUP($A155,'Pre-Assessment Estimator'!$A$10:$Z$228,L$2,FALSE))</f>
        <v/>
      </c>
      <c r="M155" s="579"/>
      <c r="N155" s="580" t="str">
        <f>IF(VLOOKUP($A155,'Pre-Assessment Estimator'!$A$10:$Z$228,N$2,FALSE)=0,"",VLOOKUP($A155,'Pre-Assessment Estimator'!$A$10:$Z$228,N$2,FALSE))</f>
        <v/>
      </c>
      <c r="O155" s="575" t="str">
        <f>VLOOKUP($A155,'Pre-Assessment Estimator'!$A$10:$Z$228,O$2,FALSE)</f>
        <v>-</v>
      </c>
      <c r="P155" s="574" t="str">
        <f>VLOOKUP($A155,'Pre-Assessment Estimator'!$A$10:$Z$228,P$2,FALSE)</f>
        <v>Very Good</v>
      </c>
      <c r="Q155" s="577" t="str">
        <f>IF(VLOOKUP($A155,'Pre-Assessment Estimator'!$A$10:$Z$228,Q$2,FALSE)=0,"",VLOOKUP($A155,'Pre-Assessment Estimator'!$A$10:$Z$228,Q$2,FALSE))</f>
        <v/>
      </c>
      <c r="R155" s="577" t="str">
        <f>IF(VLOOKUP($A155,'Pre-Assessment Estimator'!$A$10:$Z$228,R$2,FALSE)=0,"",VLOOKUP($A155,'Pre-Assessment Estimator'!$A$10:$Z$228,R$2,FALSE))</f>
        <v/>
      </c>
      <c r="S155" s="578" t="str">
        <f>IF(VLOOKUP($A155,'Pre-Assessment Estimator'!$A$10:$Z$228,S$2,FALSE)=0,"",VLOOKUP($A155,'Pre-Assessment Estimator'!$A$10:$Z$228,S$2,FALSE))</f>
        <v/>
      </c>
      <c r="T155" s="581"/>
      <c r="U155" s="580" t="str">
        <f>IF(VLOOKUP($A155,'Pre-Assessment Estimator'!$A$10:$Z$228,U$2,FALSE)=0,"",VLOOKUP($A155,'Pre-Assessment Estimator'!$A$10:$Z$228,U$2,FALSE))</f>
        <v/>
      </c>
      <c r="V155" s="575" t="str">
        <f>VLOOKUP($A155,'Pre-Assessment Estimator'!$A$10:$Z$228,V$2,FALSE)</f>
        <v>-</v>
      </c>
      <c r="W155" s="574" t="str">
        <f>VLOOKUP($A155,'Pre-Assessment Estimator'!$A$10:$Z$228,W$2,FALSE)</f>
        <v>Very Good</v>
      </c>
      <c r="X155" s="577" t="str">
        <f>IF(VLOOKUP($A155,'Pre-Assessment Estimator'!$A$10:$Z$228,X$2,FALSE)=0,"",VLOOKUP($A155,'Pre-Assessment Estimator'!$A$10:$Z$228,X$2,FALSE))</f>
        <v/>
      </c>
      <c r="Y155" s="577" t="str">
        <f>IF(VLOOKUP($A155,'Pre-Assessment Estimator'!$A$10:$Z$228,Y$2,FALSE)=0,"",VLOOKUP($A155,'Pre-Assessment Estimator'!$A$10:$Z$228,Y$2,FALSE))</f>
        <v/>
      </c>
      <c r="Z155" s="370" t="str">
        <f>IF(VLOOKUP($A155,'Pre-Assessment Estimator'!$A$10:$Z$228,Z$2,FALSE)=0,"",VLOOKUP($A155,'Pre-Assessment Estimator'!$A$10:$Z$228,Z$2,FALSE))</f>
        <v/>
      </c>
      <c r="AA155" s="696">
        <v>143</v>
      </c>
      <c r="AB155" s="577"/>
      <c r="AF155" s="386">
        <f t="shared" si="3"/>
        <v>1</v>
      </c>
    </row>
    <row r="156" spans="1:32" x14ac:dyDescent="0.25">
      <c r="A156" s="823">
        <v>147</v>
      </c>
      <c r="B156" s="1234" t="s">
        <v>68</v>
      </c>
      <c r="C156" s="1234"/>
      <c r="D156" s="1256" t="str">
        <f>VLOOKUP($A156,'Pre-Assessment Estimator'!$A$10:$Z$228,D$2,FALSE)</f>
        <v>Wst 03a</v>
      </c>
      <c r="E156" s="1256" t="str">
        <f>VLOOKUP($A156,'Pre-Assessment Estimator'!$A$10:$Z$228,E$2,FALSE)</f>
        <v>Wst 03a Operational waste</v>
      </c>
      <c r="F156" s="574">
        <f>VLOOKUP($A156,'Pre-Assessment Estimator'!$A$10:$Z$228,F$2,FALSE)</f>
        <v>1</v>
      </c>
      <c r="G156" s="580" t="str">
        <f>IF(VLOOKUP($A156,'Pre-Assessment Estimator'!$A$10:$Z$228,G$2,FALSE)=0,"",VLOOKUP($A156,'Pre-Assessment Estimator'!$A$10:$Z$228,G$2,FALSE))</f>
        <v/>
      </c>
      <c r="H156" s="1220" t="str">
        <f>VLOOKUP($A156,'Pre-Assessment Estimator'!$A$10:$Z$228,H$2,FALSE)</f>
        <v>0 c. 0 %</v>
      </c>
      <c r="I156" s="576" t="str">
        <f>VLOOKUP($A156,'Pre-Assessment Estimator'!$A$10:$Z$228,I$2,FALSE)</f>
        <v>N/A</v>
      </c>
      <c r="J156" s="577" t="str">
        <f>IF(VLOOKUP($A156,'Pre-Assessment Estimator'!$A$10:$Z$228,J$2,FALSE)=0,"",VLOOKUP($A156,'Pre-Assessment Estimator'!$A$10:$Z$228,J$2,FALSE))</f>
        <v/>
      </c>
      <c r="K156" s="577" t="str">
        <f>IF(VLOOKUP($A156,'Pre-Assessment Estimator'!$A$10:$Z$228,K$2,FALSE)=0,"",VLOOKUP($A156,'Pre-Assessment Estimator'!$A$10:$Z$228,K$2,FALSE))</f>
        <v/>
      </c>
      <c r="L156" s="578" t="str">
        <f>IF(VLOOKUP($A156,'Pre-Assessment Estimator'!$A$10:$Z$228,L$2,FALSE)=0,"",VLOOKUP($A156,'Pre-Assessment Estimator'!$A$10:$Z$228,L$2,FALSE))</f>
        <v/>
      </c>
      <c r="M156" s="579"/>
      <c r="N156" s="580" t="str">
        <f>IF(VLOOKUP($A156,'Pre-Assessment Estimator'!$A$10:$Z$228,N$2,FALSE)=0,"",VLOOKUP($A156,'Pre-Assessment Estimator'!$A$10:$Z$228,N$2,FALSE))</f>
        <v/>
      </c>
      <c r="O156" s="575" t="str">
        <f>VLOOKUP($A156,'Pre-Assessment Estimator'!$A$10:$Z$228,O$2,FALSE)</f>
        <v>0 c. 0 %</v>
      </c>
      <c r="P156" s="574" t="str">
        <f>VLOOKUP($A156,'Pre-Assessment Estimator'!$A$10:$Z$228,P$2,FALSE)</f>
        <v>N/A</v>
      </c>
      <c r="Q156" s="577" t="str">
        <f>IF(VLOOKUP($A156,'Pre-Assessment Estimator'!$A$10:$Z$228,Q$2,FALSE)=0,"",VLOOKUP($A156,'Pre-Assessment Estimator'!$A$10:$Z$228,Q$2,FALSE))</f>
        <v/>
      </c>
      <c r="R156" s="577" t="str">
        <f>IF(VLOOKUP($A156,'Pre-Assessment Estimator'!$A$10:$Z$228,R$2,FALSE)=0,"",VLOOKUP($A156,'Pre-Assessment Estimator'!$A$10:$Z$228,R$2,FALSE))</f>
        <v/>
      </c>
      <c r="S156" s="578" t="str">
        <f>IF(VLOOKUP($A156,'Pre-Assessment Estimator'!$A$10:$Z$228,S$2,FALSE)=0,"",VLOOKUP($A156,'Pre-Assessment Estimator'!$A$10:$Z$228,S$2,FALSE))</f>
        <v/>
      </c>
      <c r="T156" s="581"/>
      <c r="U156" s="580" t="str">
        <f>IF(VLOOKUP($A156,'Pre-Assessment Estimator'!$A$10:$Z$228,U$2,FALSE)=0,"",VLOOKUP($A156,'Pre-Assessment Estimator'!$A$10:$Z$228,U$2,FALSE))</f>
        <v/>
      </c>
      <c r="V156" s="575" t="str">
        <f>VLOOKUP($A156,'Pre-Assessment Estimator'!$A$10:$Z$228,V$2,FALSE)</f>
        <v>0 c. 0 %</v>
      </c>
      <c r="W156" s="574" t="str">
        <f>VLOOKUP($A156,'Pre-Assessment Estimator'!$A$10:$Z$228,W$2,FALSE)</f>
        <v>N/A</v>
      </c>
      <c r="X156" s="577" t="str">
        <f>IF(VLOOKUP($A156,'Pre-Assessment Estimator'!$A$10:$Z$228,X$2,FALSE)=0,"",VLOOKUP($A156,'Pre-Assessment Estimator'!$A$10:$Z$228,X$2,FALSE))</f>
        <v/>
      </c>
      <c r="Y156" s="577" t="str">
        <f>IF(VLOOKUP($A156,'Pre-Assessment Estimator'!$A$10:$Z$228,Y$2,FALSE)=0,"",VLOOKUP($A156,'Pre-Assessment Estimator'!$A$10:$Z$228,Y$2,FALSE))</f>
        <v/>
      </c>
      <c r="Z156" s="370" t="str">
        <f>IF(VLOOKUP($A156,'Pre-Assessment Estimator'!$A$10:$Z$228,Z$2,FALSE)=0,"",VLOOKUP($A156,'Pre-Assessment Estimator'!$A$10:$Z$228,Z$2,FALSE))</f>
        <v/>
      </c>
      <c r="AA156" s="696">
        <v>144</v>
      </c>
      <c r="AB156" s="577"/>
      <c r="AF156" s="386">
        <f t="shared" si="3"/>
        <v>1</v>
      </c>
    </row>
    <row r="157" spans="1:32" x14ac:dyDescent="0.25">
      <c r="A157" s="823">
        <v>148</v>
      </c>
      <c r="B157" s="1234" t="s">
        <v>68</v>
      </c>
      <c r="C157" s="1234"/>
      <c r="D157" s="1257" t="str">
        <f>VLOOKUP($A157,'Pre-Assessment Estimator'!$A$10:$Z$228,D$2,FALSE)</f>
        <v>Wst 03a</v>
      </c>
      <c r="E157" s="1258" t="str">
        <f>VLOOKUP($A157,'Pre-Assessment Estimator'!$A$10:$Z$228,E$2,FALSE)</f>
        <v>Operational waste</v>
      </c>
      <c r="F157" s="574">
        <f>VLOOKUP($A157,'Pre-Assessment Estimator'!$A$10:$Z$228,F$2,FALSE)</f>
        <v>1</v>
      </c>
      <c r="G157" s="580" t="str">
        <f>IF(VLOOKUP($A157,'Pre-Assessment Estimator'!$A$10:$Z$228,G$2,FALSE)=0,"",VLOOKUP($A157,'Pre-Assessment Estimator'!$A$10:$Z$228,G$2,FALSE))</f>
        <v/>
      </c>
      <c r="H157" s="1220">
        <f>VLOOKUP($A157,'Pre-Assessment Estimator'!$A$10:$Z$228,H$2,FALSE)</f>
        <v>0</v>
      </c>
      <c r="I157" s="576" t="str">
        <f>VLOOKUP($A157,'Pre-Assessment Estimator'!$A$10:$Z$228,I$2,FALSE)</f>
        <v>Very Good</v>
      </c>
      <c r="J157" s="577" t="str">
        <f>IF(VLOOKUP($A157,'Pre-Assessment Estimator'!$A$10:$Z$228,J$2,FALSE)=0,"",VLOOKUP($A157,'Pre-Assessment Estimator'!$A$10:$Z$228,J$2,FALSE))</f>
        <v/>
      </c>
      <c r="K157" s="577" t="str">
        <f>IF(VLOOKUP($A157,'Pre-Assessment Estimator'!$A$10:$Z$228,K$2,FALSE)=0,"",VLOOKUP($A157,'Pre-Assessment Estimator'!$A$10:$Z$228,K$2,FALSE))</f>
        <v/>
      </c>
      <c r="L157" s="578" t="str">
        <f>IF(VLOOKUP($A157,'Pre-Assessment Estimator'!$A$10:$Z$228,L$2,FALSE)=0,"",VLOOKUP($A157,'Pre-Assessment Estimator'!$A$10:$Z$228,L$2,FALSE))</f>
        <v/>
      </c>
      <c r="M157" s="579"/>
      <c r="N157" s="580" t="str">
        <f>IF(VLOOKUP($A157,'Pre-Assessment Estimator'!$A$10:$Z$228,N$2,FALSE)=0,"",VLOOKUP($A157,'Pre-Assessment Estimator'!$A$10:$Z$228,N$2,FALSE))</f>
        <v/>
      </c>
      <c r="O157" s="575">
        <f>VLOOKUP($A157,'Pre-Assessment Estimator'!$A$10:$Z$228,O$2,FALSE)</f>
        <v>0</v>
      </c>
      <c r="P157" s="574" t="str">
        <f>VLOOKUP($A157,'Pre-Assessment Estimator'!$A$10:$Z$228,P$2,FALSE)</f>
        <v>Very Good</v>
      </c>
      <c r="Q157" s="577" t="str">
        <f>IF(VLOOKUP($A157,'Pre-Assessment Estimator'!$A$10:$Z$228,Q$2,FALSE)=0,"",VLOOKUP($A157,'Pre-Assessment Estimator'!$A$10:$Z$228,Q$2,FALSE))</f>
        <v/>
      </c>
      <c r="R157" s="577" t="str">
        <f>IF(VLOOKUP($A157,'Pre-Assessment Estimator'!$A$10:$Z$228,R$2,FALSE)=0,"",VLOOKUP($A157,'Pre-Assessment Estimator'!$A$10:$Z$228,R$2,FALSE))</f>
        <v/>
      </c>
      <c r="S157" s="578" t="str">
        <f>IF(VLOOKUP($A157,'Pre-Assessment Estimator'!$A$10:$Z$228,S$2,FALSE)=0,"",VLOOKUP($A157,'Pre-Assessment Estimator'!$A$10:$Z$228,S$2,FALSE))</f>
        <v/>
      </c>
      <c r="T157" s="581"/>
      <c r="U157" s="580" t="str">
        <f>IF(VLOOKUP($A157,'Pre-Assessment Estimator'!$A$10:$Z$228,U$2,FALSE)=0,"",VLOOKUP($A157,'Pre-Assessment Estimator'!$A$10:$Z$228,U$2,FALSE))</f>
        <v/>
      </c>
      <c r="V157" s="575">
        <f>VLOOKUP($A157,'Pre-Assessment Estimator'!$A$10:$Z$228,V$2,FALSE)</f>
        <v>0</v>
      </c>
      <c r="W157" s="574" t="str">
        <f>VLOOKUP($A157,'Pre-Assessment Estimator'!$A$10:$Z$228,W$2,FALSE)</f>
        <v>Very Good</v>
      </c>
      <c r="X157" s="577" t="str">
        <f>IF(VLOOKUP($A157,'Pre-Assessment Estimator'!$A$10:$Z$228,X$2,FALSE)=0,"",VLOOKUP($A157,'Pre-Assessment Estimator'!$A$10:$Z$228,X$2,FALSE))</f>
        <v/>
      </c>
      <c r="Y157" s="577" t="str">
        <f>IF(VLOOKUP($A157,'Pre-Assessment Estimator'!$A$10:$Z$228,Y$2,FALSE)=0,"",VLOOKUP($A157,'Pre-Assessment Estimator'!$A$10:$Z$228,Y$2,FALSE))</f>
        <v/>
      </c>
      <c r="Z157" s="370" t="str">
        <f>IF(VLOOKUP($A157,'Pre-Assessment Estimator'!$A$10:$Z$228,Z$2,FALSE)=0,"",VLOOKUP($A157,'Pre-Assessment Estimator'!$A$10:$Z$228,Z$2,FALSE))</f>
        <v/>
      </c>
      <c r="AA157" s="696">
        <v>145</v>
      </c>
      <c r="AB157" s="577"/>
      <c r="AF157" s="386">
        <f t="shared" si="3"/>
        <v>1</v>
      </c>
    </row>
    <row r="158" spans="1:32" x14ac:dyDescent="0.25">
      <c r="A158" s="823">
        <v>149</v>
      </c>
      <c r="B158" s="1234" t="s">
        <v>68</v>
      </c>
      <c r="C158" s="1234"/>
      <c r="D158" s="1256" t="str">
        <f>VLOOKUP($A158,'Pre-Assessment Estimator'!$A$10:$Z$228,D$2,FALSE)</f>
        <v>Wst 03b</v>
      </c>
      <c r="E158" s="1256" t="str">
        <f>VLOOKUP($A158,'Pre-Assessment Estimator'!$A$10:$Z$228,E$2,FALSE)</f>
        <v>Wst 03b Operational waste</v>
      </c>
      <c r="F158" s="574">
        <f>VLOOKUP($A158,'Pre-Assessment Estimator'!$A$10:$Z$228,F$2,FALSE)</f>
        <v>0</v>
      </c>
      <c r="G158" s="580" t="str">
        <f>IF(VLOOKUP($A158,'Pre-Assessment Estimator'!$A$10:$Z$228,G$2,FALSE)=0,"",VLOOKUP($A158,'Pre-Assessment Estimator'!$A$10:$Z$228,G$2,FALSE))</f>
        <v/>
      </c>
      <c r="H158" s="1220" t="str">
        <f>VLOOKUP($A158,'Pre-Assessment Estimator'!$A$10:$Z$228,H$2,FALSE)</f>
        <v>0 c. 0 %</v>
      </c>
      <c r="I158" s="576" t="str">
        <f>VLOOKUP($A158,'Pre-Assessment Estimator'!$A$10:$Z$228,I$2,FALSE)</f>
        <v>N/A</v>
      </c>
      <c r="J158" s="577" t="str">
        <f>IF(VLOOKUP($A158,'Pre-Assessment Estimator'!$A$10:$Z$228,J$2,FALSE)=0,"",VLOOKUP($A158,'Pre-Assessment Estimator'!$A$10:$Z$228,J$2,FALSE))</f>
        <v/>
      </c>
      <c r="K158" s="577" t="str">
        <f>IF(VLOOKUP($A158,'Pre-Assessment Estimator'!$A$10:$Z$228,K$2,FALSE)=0,"",VLOOKUP($A158,'Pre-Assessment Estimator'!$A$10:$Z$228,K$2,FALSE))</f>
        <v/>
      </c>
      <c r="L158" s="578" t="str">
        <f>IF(VLOOKUP($A158,'Pre-Assessment Estimator'!$A$10:$Z$228,L$2,FALSE)=0,"",VLOOKUP($A158,'Pre-Assessment Estimator'!$A$10:$Z$228,L$2,FALSE))</f>
        <v/>
      </c>
      <c r="M158" s="579"/>
      <c r="N158" s="580" t="str">
        <f>IF(VLOOKUP($A158,'Pre-Assessment Estimator'!$A$10:$Z$228,N$2,FALSE)=0,"",VLOOKUP($A158,'Pre-Assessment Estimator'!$A$10:$Z$228,N$2,FALSE))</f>
        <v/>
      </c>
      <c r="O158" s="575" t="str">
        <f>VLOOKUP($A158,'Pre-Assessment Estimator'!$A$10:$Z$228,O$2,FALSE)</f>
        <v>0 c. 0 %</v>
      </c>
      <c r="P158" s="574" t="str">
        <f>VLOOKUP($A158,'Pre-Assessment Estimator'!$A$10:$Z$228,P$2,FALSE)</f>
        <v>N/A</v>
      </c>
      <c r="Q158" s="577" t="str">
        <f>IF(VLOOKUP($A158,'Pre-Assessment Estimator'!$A$10:$Z$228,Q$2,FALSE)=0,"",VLOOKUP($A158,'Pre-Assessment Estimator'!$A$10:$Z$228,Q$2,FALSE))</f>
        <v/>
      </c>
      <c r="R158" s="577" t="str">
        <f>IF(VLOOKUP($A158,'Pre-Assessment Estimator'!$A$10:$Z$228,R$2,FALSE)=0,"",VLOOKUP($A158,'Pre-Assessment Estimator'!$A$10:$Z$228,R$2,FALSE))</f>
        <v/>
      </c>
      <c r="S158" s="578" t="str">
        <f>IF(VLOOKUP($A158,'Pre-Assessment Estimator'!$A$10:$Z$228,S$2,FALSE)=0,"",VLOOKUP($A158,'Pre-Assessment Estimator'!$A$10:$Z$228,S$2,FALSE))</f>
        <v/>
      </c>
      <c r="T158" s="581"/>
      <c r="U158" s="580" t="str">
        <f>IF(VLOOKUP($A158,'Pre-Assessment Estimator'!$A$10:$Z$228,U$2,FALSE)=0,"",VLOOKUP($A158,'Pre-Assessment Estimator'!$A$10:$Z$228,U$2,FALSE))</f>
        <v/>
      </c>
      <c r="V158" s="575" t="str">
        <f>VLOOKUP($A158,'Pre-Assessment Estimator'!$A$10:$Z$228,V$2,FALSE)</f>
        <v>0 c. 0 %</v>
      </c>
      <c r="W158" s="574" t="str">
        <f>VLOOKUP($A158,'Pre-Assessment Estimator'!$A$10:$Z$228,W$2,FALSE)</f>
        <v>N/A</v>
      </c>
      <c r="X158" s="577" t="str">
        <f>IF(VLOOKUP($A158,'Pre-Assessment Estimator'!$A$10:$Z$228,X$2,FALSE)=0,"",VLOOKUP($A158,'Pre-Assessment Estimator'!$A$10:$Z$228,X$2,FALSE))</f>
        <v/>
      </c>
      <c r="Y158" s="577" t="str">
        <f>IF(VLOOKUP($A158,'Pre-Assessment Estimator'!$A$10:$Z$228,Y$2,FALSE)=0,"",VLOOKUP($A158,'Pre-Assessment Estimator'!$A$10:$Z$228,Y$2,FALSE))</f>
        <v/>
      </c>
      <c r="Z158" s="370" t="str">
        <f>IF(VLOOKUP($A158,'Pre-Assessment Estimator'!$A$10:$Z$228,Z$2,FALSE)=0,"",VLOOKUP($A158,'Pre-Assessment Estimator'!$A$10:$Z$228,Z$2,FALSE))</f>
        <v/>
      </c>
      <c r="AA158" s="696">
        <v>146</v>
      </c>
      <c r="AB158" s="577"/>
      <c r="AF158" s="386">
        <f t="shared" si="3"/>
        <v>2</v>
      </c>
    </row>
    <row r="159" spans="1:32" x14ac:dyDescent="0.25">
      <c r="A159" s="823">
        <v>150</v>
      </c>
      <c r="B159" s="1234" t="s">
        <v>68</v>
      </c>
      <c r="C159" s="1234"/>
      <c r="D159" s="1257" t="str">
        <f>VLOOKUP($A159,'Pre-Assessment Estimator'!$A$10:$Z$228,D$2,FALSE)</f>
        <v>Wst 03b</v>
      </c>
      <c r="E159" s="1258" t="str">
        <f>VLOOKUP($A159,'Pre-Assessment Estimator'!$A$10:$Z$228,E$2,FALSE)</f>
        <v>Sorting of waste</v>
      </c>
      <c r="F159" s="574">
        <f>VLOOKUP($A159,'Pre-Assessment Estimator'!$A$10:$Z$228,F$2,FALSE)</f>
        <v>0</v>
      </c>
      <c r="G159" s="580" t="str">
        <f>IF(VLOOKUP($A159,'Pre-Assessment Estimator'!$A$10:$Z$228,G$2,FALSE)=0,"",VLOOKUP($A159,'Pre-Assessment Estimator'!$A$10:$Z$228,G$2,FALSE))</f>
        <v/>
      </c>
      <c r="H159" s="1220">
        <f>VLOOKUP($A159,'Pre-Assessment Estimator'!$A$10:$Z$228,H$2,FALSE)</f>
        <v>0</v>
      </c>
      <c r="I159" s="576" t="str">
        <f>VLOOKUP($A159,'Pre-Assessment Estimator'!$A$10:$Z$228,I$2,FALSE)</f>
        <v>N/A</v>
      </c>
      <c r="J159" s="577" t="str">
        <f>IF(VLOOKUP($A159,'Pre-Assessment Estimator'!$A$10:$Z$228,J$2,FALSE)=0,"",VLOOKUP($A159,'Pre-Assessment Estimator'!$A$10:$Z$228,J$2,FALSE))</f>
        <v/>
      </c>
      <c r="K159" s="577" t="str">
        <f>IF(VLOOKUP($A159,'Pre-Assessment Estimator'!$A$10:$Z$228,K$2,FALSE)=0,"",VLOOKUP($A159,'Pre-Assessment Estimator'!$A$10:$Z$228,K$2,FALSE))</f>
        <v/>
      </c>
      <c r="L159" s="578" t="str">
        <f>IF(VLOOKUP($A159,'Pre-Assessment Estimator'!$A$10:$Z$228,L$2,FALSE)=0,"",VLOOKUP($A159,'Pre-Assessment Estimator'!$A$10:$Z$228,L$2,FALSE))</f>
        <v/>
      </c>
      <c r="M159" s="579"/>
      <c r="N159" s="580" t="str">
        <f>IF(VLOOKUP($A159,'Pre-Assessment Estimator'!$A$10:$Z$228,N$2,FALSE)=0,"",VLOOKUP($A159,'Pre-Assessment Estimator'!$A$10:$Z$228,N$2,FALSE))</f>
        <v/>
      </c>
      <c r="O159" s="575">
        <f>VLOOKUP($A159,'Pre-Assessment Estimator'!$A$10:$Z$228,O$2,FALSE)</f>
        <v>0</v>
      </c>
      <c r="P159" s="574" t="str">
        <f>VLOOKUP($A159,'Pre-Assessment Estimator'!$A$10:$Z$228,P$2,FALSE)</f>
        <v>N/A</v>
      </c>
      <c r="Q159" s="577" t="str">
        <f>IF(VLOOKUP($A159,'Pre-Assessment Estimator'!$A$10:$Z$228,Q$2,FALSE)=0,"",VLOOKUP($A159,'Pre-Assessment Estimator'!$A$10:$Z$228,Q$2,FALSE))</f>
        <v/>
      </c>
      <c r="R159" s="577" t="str">
        <f>IF(VLOOKUP($A159,'Pre-Assessment Estimator'!$A$10:$Z$228,R$2,FALSE)=0,"",VLOOKUP($A159,'Pre-Assessment Estimator'!$A$10:$Z$228,R$2,FALSE))</f>
        <v/>
      </c>
      <c r="S159" s="578" t="str">
        <f>IF(VLOOKUP($A159,'Pre-Assessment Estimator'!$A$10:$Z$228,S$2,FALSE)=0,"",VLOOKUP($A159,'Pre-Assessment Estimator'!$A$10:$Z$228,S$2,FALSE))</f>
        <v/>
      </c>
      <c r="T159" s="581"/>
      <c r="U159" s="580" t="str">
        <f>IF(VLOOKUP($A159,'Pre-Assessment Estimator'!$A$10:$Z$228,U$2,FALSE)=0,"",VLOOKUP($A159,'Pre-Assessment Estimator'!$A$10:$Z$228,U$2,FALSE))</f>
        <v/>
      </c>
      <c r="V159" s="575">
        <f>VLOOKUP($A159,'Pre-Assessment Estimator'!$A$10:$Z$228,V$2,FALSE)</f>
        <v>0</v>
      </c>
      <c r="W159" s="574" t="str">
        <f>VLOOKUP($A159,'Pre-Assessment Estimator'!$A$10:$Z$228,W$2,FALSE)</f>
        <v>N/A</v>
      </c>
      <c r="X159" s="577" t="str">
        <f>IF(VLOOKUP($A159,'Pre-Assessment Estimator'!$A$10:$Z$228,X$2,FALSE)=0,"",VLOOKUP($A159,'Pre-Assessment Estimator'!$A$10:$Z$228,X$2,FALSE))</f>
        <v/>
      </c>
      <c r="Y159" s="577" t="str">
        <f>IF(VLOOKUP($A159,'Pre-Assessment Estimator'!$A$10:$Z$228,Y$2,FALSE)=0,"",VLOOKUP($A159,'Pre-Assessment Estimator'!$A$10:$Z$228,Y$2,FALSE))</f>
        <v/>
      </c>
      <c r="Z159" s="370" t="str">
        <f>IF(VLOOKUP($A159,'Pre-Assessment Estimator'!$A$10:$Z$228,Z$2,FALSE)=0,"",VLOOKUP($A159,'Pre-Assessment Estimator'!$A$10:$Z$228,Z$2,FALSE))</f>
        <v/>
      </c>
      <c r="AA159" s="696">
        <v>147</v>
      </c>
      <c r="AB159" s="577" t="str">
        <f>IF(VLOOKUP($A159,'Pre-Assessment Estimator'!$A$10:$AB$228,AB$2,FALSE)=0,"",VLOOKUP($A159,'Pre-Assessment Estimator'!$A$10:$AB$228,AB$2,FALSE))</f>
        <v/>
      </c>
      <c r="AF159" s="386">
        <f t="shared" si="3"/>
        <v>2</v>
      </c>
    </row>
    <row r="160" spans="1:32" x14ac:dyDescent="0.25">
      <c r="A160" s="823">
        <v>151</v>
      </c>
      <c r="B160" s="1234" t="s">
        <v>68</v>
      </c>
      <c r="C160" s="1234"/>
      <c r="D160" s="1256" t="str">
        <f>VLOOKUP($A160,'Pre-Assessment Estimator'!$A$10:$Z$228,D$2,FALSE)</f>
        <v>Wst 04</v>
      </c>
      <c r="E160" s="1256" t="str">
        <f>VLOOKUP($A160,'Pre-Assessment Estimator'!$A$10:$Z$228,E$2,FALSE)</f>
        <v>Wst 04 Speculative finishes</v>
      </c>
      <c r="F160" s="574">
        <f>VLOOKUP($A160,'Pre-Assessment Estimator'!$A$10:$Z$228,F$2,FALSE)</f>
        <v>1</v>
      </c>
      <c r="G160" s="580" t="str">
        <f>IF(VLOOKUP($A160,'Pre-Assessment Estimator'!$A$10:$Z$228,G$2,FALSE)=0,"",VLOOKUP($A160,'Pre-Assessment Estimator'!$A$10:$Z$228,G$2,FALSE))</f>
        <v/>
      </c>
      <c r="H160" s="1220" t="str">
        <f>VLOOKUP($A160,'Pre-Assessment Estimator'!$A$10:$Z$228,H$2,FALSE)</f>
        <v>0 c. 0 %</v>
      </c>
      <c r="I160" s="576" t="str">
        <f>VLOOKUP($A160,'Pre-Assessment Estimator'!$A$10:$Z$228,I$2,FALSE)</f>
        <v>N/A</v>
      </c>
      <c r="J160" s="577" t="str">
        <f>IF(VLOOKUP($A160,'Pre-Assessment Estimator'!$A$10:$Z$228,J$2,FALSE)=0,"",VLOOKUP($A160,'Pre-Assessment Estimator'!$A$10:$Z$228,J$2,FALSE))</f>
        <v/>
      </c>
      <c r="K160" s="577" t="str">
        <f>IF(VLOOKUP($A160,'Pre-Assessment Estimator'!$A$10:$Z$228,K$2,FALSE)=0,"",VLOOKUP($A160,'Pre-Assessment Estimator'!$A$10:$Z$228,K$2,FALSE))</f>
        <v/>
      </c>
      <c r="L160" s="578" t="str">
        <f>IF(VLOOKUP($A160,'Pre-Assessment Estimator'!$A$10:$Z$228,L$2,FALSE)=0,"",VLOOKUP($A160,'Pre-Assessment Estimator'!$A$10:$Z$228,L$2,FALSE))</f>
        <v/>
      </c>
      <c r="M160" s="579"/>
      <c r="N160" s="580" t="str">
        <f>IF(VLOOKUP($A160,'Pre-Assessment Estimator'!$A$10:$Z$228,N$2,FALSE)=0,"",VLOOKUP($A160,'Pre-Assessment Estimator'!$A$10:$Z$228,N$2,FALSE))</f>
        <v/>
      </c>
      <c r="O160" s="575" t="str">
        <f>VLOOKUP($A160,'Pre-Assessment Estimator'!$A$10:$Z$228,O$2,FALSE)</f>
        <v>0 c. 0 %</v>
      </c>
      <c r="P160" s="574" t="str">
        <f>VLOOKUP($A160,'Pre-Assessment Estimator'!$A$10:$Z$228,P$2,FALSE)</f>
        <v>N/A</v>
      </c>
      <c r="Q160" s="577" t="str">
        <f>IF(VLOOKUP($A160,'Pre-Assessment Estimator'!$A$10:$Z$228,Q$2,FALSE)=0,"",VLOOKUP($A160,'Pre-Assessment Estimator'!$A$10:$Z$228,Q$2,FALSE))</f>
        <v/>
      </c>
      <c r="R160" s="577" t="str">
        <f>IF(VLOOKUP($A160,'Pre-Assessment Estimator'!$A$10:$Z$228,R$2,FALSE)=0,"",VLOOKUP($A160,'Pre-Assessment Estimator'!$A$10:$Z$228,R$2,FALSE))</f>
        <v/>
      </c>
      <c r="S160" s="578" t="str">
        <f>IF(VLOOKUP($A160,'Pre-Assessment Estimator'!$A$10:$Z$228,S$2,FALSE)=0,"",VLOOKUP($A160,'Pre-Assessment Estimator'!$A$10:$Z$228,S$2,FALSE))</f>
        <v/>
      </c>
      <c r="T160" s="581"/>
      <c r="U160" s="580" t="str">
        <f>IF(VLOOKUP($A160,'Pre-Assessment Estimator'!$A$10:$Z$228,U$2,FALSE)=0,"",VLOOKUP($A160,'Pre-Assessment Estimator'!$A$10:$Z$228,U$2,FALSE))</f>
        <v/>
      </c>
      <c r="V160" s="575" t="str">
        <f>VLOOKUP($A160,'Pre-Assessment Estimator'!$A$10:$Z$228,V$2,FALSE)</f>
        <v>0 c. 0 %</v>
      </c>
      <c r="W160" s="574" t="str">
        <f>VLOOKUP($A160,'Pre-Assessment Estimator'!$A$10:$Z$228,W$2,FALSE)</f>
        <v>N/A</v>
      </c>
      <c r="X160" s="577" t="str">
        <f>IF(VLOOKUP($A160,'Pre-Assessment Estimator'!$A$10:$Z$228,X$2,FALSE)=0,"",VLOOKUP($A160,'Pre-Assessment Estimator'!$A$10:$Z$228,X$2,FALSE))</f>
        <v/>
      </c>
      <c r="Y160" s="577" t="str">
        <f>IF(VLOOKUP($A160,'Pre-Assessment Estimator'!$A$10:$Z$228,Y$2,FALSE)=0,"",VLOOKUP($A160,'Pre-Assessment Estimator'!$A$10:$Z$228,Y$2,FALSE))</f>
        <v/>
      </c>
      <c r="Z160" s="370" t="str">
        <f>IF(VLOOKUP($A160,'Pre-Assessment Estimator'!$A$10:$Z$228,Z$2,FALSE)=0,"",VLOOKUP($A160,'Pre-Assessment Estimator'!$A$10:$Z$228,Z$2,FALSE))</f>
        <v/>
      </c>
      <c r="AA160" s="696">
        <v>148</v>
      </c>
      <c r="AB160" s="585" t="str">
        <f>IF(VLOOKUP($A160,'Pre-Assessment Estimator'!$A$10:$AB$228,AB$2,FALSE)=0,"",VLOOKUP($A160,'Pre-Assessment Estimator'!$A$10:$AB$228,AB$2,FALSE))</f>
        <v/>
      </c>
      <c r="AC160" s="389"/>
      <c r="AD160" s="389"/>
      <c r="AE160" s="389"/>
      <c r="AF160" s="386">
        <f t="shared" si="3"/>
        <v>1</v>
      </c>
    </row>
    <row r="161" spans="1:32" x14ac:dyDescent="0.25">
      <c r="A161" s="823">
        <v>152</v>
      </c>
      <c r="B161" s="1234" t="s">
        <v>69</v>
      </c>
      <c r="C161" s="1234"/>
      <c r="D161" s="1257" t="str">
        <f>VLOOKUP($A161,'Pre-Assessment Estimator'!$A$10:$Z$228,D$2,FALSE)</f>
        <v>Wst 04</v>
      </c>
      <c r="E161" s="1258" t="str">
        <f>VLOOKUP($A161,'Pre-Assessment Estimator'!$A$10:$Z$228,E$2,FALSE)</f>
        <v xml:space="preserve">User involvement surface finishes </v>
      </c>
      <c r="F161" s="574">
        <f>VLOOKUP($A161,'Pre-Assessment Estimator'!$A$10:$Z$228,F$2,FALSE)</f>
        <v>1</v>
      </c>
      <c r="G161" s="580" t="str">
        <f>IF(VLOOKUP($A161,'Pre-Assessment Estimator'!$A$10:$Z$228,G$2,FALSE)=0,"",VLOOKUP($A161,'Pre-Assessment Estimator'!$A$10:$Z$228,G$2,FALSE))</f>
        <v/>
      </c>
      <c r="H161" s="1220">
        <f>VLOOKUP($A161,'Pre-Assessment Estimator'!$A$10:$Z$228,H$2,FALSE)</f>
        <v>0</v>
      </c>
      <c r="I161" s="576" t="str">
        <f>VLOOKUP($A161,'Pre-Assessment Estimator'!$A$10:$Z$228,I$2,FALSE)</f>
        <v>N/A</v>
      </c>
      <c r="J161" s="577" t="str">
        <f>IF(VLOOKUP($A161,'Pre-Assessment Estimator'!$A$10:$Z$228,J$2,FALSE)=0,"",VLOOKUP($A161,'Pre-Assessment Estimator'!$A$10:$Z$228,J$2,FALSE))</f>
        <v/>
      </c>
      <c r="K161" s="577" t="str">
        <f>IF(VLOOKUP($A161,'Pre-Assessment Estimator'!$A$10:$Z$228,K$2,FALSE)=0,"",VLOOKUP($A161,'Pre-Assessment Estimator'!$A$10:$Z$228,K$2,FALSE))</f>
        <v/>
      </c>
      <c r="L161" s="578" t="str">
        <f>IF(VLOOKUP($A161,'Pre-Assessment Estimator'!$A$10:$Z$228,L$2,FALSE)=0,"",VLOOKUP($A161,'Pre-Assessment Estimator'!$A$10:$Z$228,L$2,FALSE))</f>
        <v/>
      </c>
      <c r="M161" s="579"/>
      <c r="N161" s="580" t="str">
        <f>IF(VLOOKUP($A161,'Pre-Assessment Estimator'!$A$10:$Z$228,N$2,FALSE)=0,"",VLOOKUP($A161,'Pre-Assessment Estimator'!$A$10:$Z$228,N$2,FALSE))</f>
        <v/>
      </c>
      <c r="O161" s="575">
        <f>VLOOKUP($A161,'Pre-Assessment Estimator'!$A$10:$Z$228,O$2,FALSE)</f>
        <v>0</v>
      </c>
      <c r="P161" s="574" t="str">
        <f>VLOOKUP($A161,'Pre-Assessment Estimator'!$A$10:$Z$228,P$2,FALSE)</f>
        <v>N/A</v>
      </c>
      <c r="Q161" s="577" t="str">
        <f>IF(VLOOKUP($A161,'Pre-Assessment Estimator'!$A$10:$Z$228,Q$2,FALSE)=0,"",VLOOKUP($A161,'Pre-Assessment Estimator'!$A$10:$Z$228,Q$2,FALSE))</f>
        <v/>
      </c>
      <c r="R161" s="577" t="str">
        <f>IF(VLOOKUP($A161,'Pre-Assessment Estimator'!$A$10:$Z$228,R$2,FALSE)=0,"",VLOOKUP($A161,'Pre-Assessment Estimator'!$A$10:$Z$228,R$2,FALSE))</f>
        <v/>
      </c>
      <c r="S161" s="578" t="str">
        <f>IF(VLOOKUP($A161,'Pre-Assessment Estimator'!$A$10:$Z$228,S$2,FALSE)=0,"",VLOOKUP($A161,'Pre-Assessment Estimator'!$A$10:$Z$228,S$2,FALSE))</f>
        <v/>
      </c>
      <c r="T161" s="581"/>
      <c r="U161" s="580" t="str">
        <f>IF(VLOOKUP($A161,'Pre-Assessment Estimator'!$A$10:$Z$228,U$2,FALSE)=0,"",VLOOKUP($A161,'Pre-Assessment Estimator'!$A$10:$Z$228,U$2,FALSE))</f>
        <v/>
      </c>
      <c r="V161" s="575">
        <f>VLOOKUP($A161,'Pre-Assessment Estimator'!$A$10:$Z$228,V$2,FALSE)</f>
        <v>0</v>
      </c>
      <c r="W161" s="574" t="str">
        <f>VLOOKUP($A161,'Pre-Assessment Estimator'!$A$10:$Z$228,W$2,FALSE)</f>
        <v>N/A</v>
      </c>
      <c r="X161" s="577" t="str">
        <f>IF(VLOOKUP($A161,'Pre-Assessment Estimator'!$A$10:$Z$228,X$2,FALSE)=0,"",VLOOKUP($A161,'Pre-Assessment Estimator'!$A$10:$Z$228,X$2,FALSE))</f>
        <v/>
      </c>
      <c r="Y161" s="577" t="str">
        <f>IF(VLOOKUP($A161,'Pre-Assessment Estimator'!$A$10:$Z$228,Y$2,FALSE)=0,"",VLOOKUP($A161,'Pre-Assessment Estimator'!$A$10:$Z$228,Y$2,FALSE))</f>
        <v/>
      </c>
      <c r="Z161" s="370" t="str">
        <f>IF(VLOOKUP($A161,'Pre-Assessment Estimator'!$A$10:$Z$228,Z$2,FALSE)=0,"",VLOOKUP($A161,'Pre-Assessment Estimator'!$A$10:$Z$228,Z$2,FALSE))</f>
        <v/>
      </c>
      <c r="AA161" s="696">
        <v>149</v>
      </c>
      <c r="AB161" s="697" t="str">
        <f>IF(VLOOKUP($A161,'Pre-Assessment Estimator'!$A$10:$AB$228,AB$2,FALSE)=0,"",VLOOKUP($A161,'Pre-Assessment Estimator'!$A$10:$AB$228,AB$2,FALSE))</f>
        <v/>
      </c>
      <c r="AF161" s="386">
        <f t="shared" si="3"/>
        <v>1</v>
      </c>
    </row>
    <row r="162" spans="1:32" ht="30" customHeight="1" thickBot="1" x14ac:dyDescent="0.3">
      <c r="A162" s="823">
        <v>153</v>
      </c>
      <c r="B162" s="1234" t="s">
        <v>69</v>
      </c>
      <c r="C162" s="1234"/>
      <c r="D162" s="1259"/>
      <c r="E162" s="1259" t="str">
        <f>VLOOKUP($A162,'Pre-Assessment Estimator'!$A$10:$Z$228,E$2,FALSE)</f>
        <v>Total performance waste</v>
      </c>
      <c r="F162" s="582">
        <f>VLOOKUP($A162,'Pre-Assessment Estimator'!$A$10:$Z$228,F$2,FALSE)</f>
        <v>7</v>
      </c>
      <c r="G162" s="584" t="str">
        <f>IF(VLOOKUP($A162,'Pre-Assessment Estimator'!$A$10:$Z$228,G$2,FALSE)=0,"",VLOOKUP($A162,'Pre-Assessment Estimator'!$A$10:$Z$228,G$2,FALSE))</f>
        <v/>
      </c>
      <c r="H162" s="583">
        <f>VLOOKUP($A162,'Pre-Assessment Estimator'!$A$10:$Z$228,H$2,FALSE)</f>
        <v>0</v>
      </c>
      <c r="I162" s="582" t="str">
        <f>VLOOKUP($A162,'Pre-Assessment Estimator'!$A$10:$Z$228,I$2,FALSE)</f>
        <v>Credits achieved: 0</v>
      </c>
      <c r="J162" s="1202" t="str">
        <f>IF(VLOOKUP($A162,'Pre-Assessment Estimator'!$A$10:$Z$228,J$2,FALSE)=0,"",VLOOKUP($A162,'Pre-Assessment Estimator'!$A$10:$Z$228,J$2,FALSE))</f>
        <v/>
      </c>
      <c r="K162" s="1202" t="str">
        <f>IF(VLOOKUP($A162,'Pre-Assessment Estimator'!$A$10:$Z$228,K$2,FALSE)=0,"",VLOOKUP($A162,'Pre-Assessment Estimator'!$A$10:$Z$228,K$2,FALSE))</f>
        <v/>
      </c>
      <c r="L162" s="1221" t="str">
        <f>IF(VLOOKUP($A162,'Pre-Assessment Estimator'!$A$10:$Z$228,L$2,FALSE)=0,"",VLOOKUP($A162,'Pre-Assessment Estimator'!$A$10:$Z$228,L$2,FALSE))</f>
        <v/>
      </c>
      <c r="M162" s="1222"/>
      <c r="N162" s="584" t="str">
        <f>IF(VLOOKUP($A162,'Pre-Assessment Estimator'!$A$10:$Z$228,N$2,FALSE)=0,"",VLOOKUP($A162,'Pre-Assessment Estimator'!$A$10:$Z$228,N$2,FALSE))</f>
        <v/>
      </c>
      <c r="O162" s="583">
        <f>VLOOKUP($A162,'Pre-Assessment Estimator'!$A$10:$Z$228,O$2,FALSE)</f>
        <v>0</v>
      </c>
      <c r="P162" s="582" t="str">
        <f>VLOOKUP($A162,'Pre-Assessment Estimator'!$A$10:$Z$228,P$2,FALSE)</f>
        <v>Credits achieved: 0</v>
      </c>
      <c r="Q162" s="1202" t="str">
        <f>IF(VLOOKUP($A162,'Pre-Assessment Estimator'!$A$10:$Z$228,Q$2,FALSE)=0,"",VLOOKUP($A162,'Pre-Assessment Estimator'!$A$10:$Z$228,Q$2,FALSE))</f>
        <v/>
      </c>
      <c r="R162" s="1202" t="str">
        <f>IF(VLOOKUP($A162,'Pre-Assessment Estimator'!$A$10:$Z$228,R$2,FALSE)=0,"",VLOOKUP($A162,'Pre-Assessment Estimator'!$A$10:$Z$228,R$2,FALSE))</f>
        <v/>
      </c>
      <c r="S162" s="1221" t="str">
        <f>IF(VLOOKUP($A162,'Pre-Assessment Estimator'!$A$10:$Z$228,S$2,FALSE)=0,"",VLOOKUP($A162,'Pre-Assessment Estimator'!$A$10:$Z$228,S$2,FALSE))</f>
        <v/>
      </c>
      <c r="T162" s="1223"/>
      <c r="U162" s="584" t="str">
        <f>IF(VLOOKUP($A162,'Pre-Assessment Estimator'!$A$10:$Z$228,U$2,FALSE)=0,"",VLOOKUP($A162,'Pre-Assessment Estimator'!$A$10:$Z$228,U$2,FALSE))</f>
        <v/>
      </c>
      <c r="V162" s="583">
        <f>VLOOKUP($A162,'Pre-Assessment Estimator'!$A$10:$Z$228,V$2,FALSE)</f>
        <v>0</v>
      </c>
      <c r="W162" s="582" t="str">
        <f>VLOOKUP($A162,'Pre-Assessment Estimator'!$A$10:$Z$228,W$2,FALSE)</f>
        <v>Credits achieved: 0</v>
      </c>
      <c r="X162" s="1202" t="str">
        <f>IF(VLOOKUP($A162,'Pre-Assessment Estimator'!$A$10:$Z$228,X$2,FALSE)=0,"",VLOOKUP($A162,'Pre-Assessment Estimator'!$A$10:$Z$228,X$2,FALSE))</f>
        <v/>
      </c>
      <c r="Y162" s="1202" t="str">
        <f>IF(VLOOKUP($A162,'Pre-Assessment Estimator'!$A$10:$Z$228,Y$2,FALSE)=0,"",VLOOKUP($A162,'Pre-Assessment Estimator'!$A$10:$Z$228,Y$2,FALSE))</f>
        <v/>
      </c>
      <c r="Z162" s="1224" t="str">
        <f>IF(VLOOKUP($A162,'Pre-Assessment Estimator'!$A$10:$Z$228,Z$2,FALSE)=0,"",VLOOKUP($A162,'Pre-Assessment Estimator'!$A$10:$Z$228,Z$2,FALSE))</f>
        <v/>
      </c>
      <c r="AA162" s="696">
        <v>150</v>
      </c>
      <c r="AB162" s="577" t="str">
        <f>IF(VLOOKUP($A162,'Pre-Assessment Estimator'!$A$10:$AB$228,AB$2,FALSE)=0,"",VLOOKUP($A162,'Pre-Assessment Estimator'!$A$10:$AB$228,AB$2,FALSE))</f>
        <v/>
      </c>
      <c r="AF162" s="386">
        <f t="shared" si="3"/>
        <v>1</v>
      </c>
    </row>
    <row r="163" spans="1:32" x14ac:dyDescent="0.25">
      <c r="A163" s="823">
        <v>154</v>
      </c>
      <c r="B163" s="1234" t="s">
        <v>69</v>
      </c>
      <c r="C163" s="1234"/>
      <c r="D163" s="585"/>
      <c r="E163" s="585"/>
      <c r="F163" s="586"/>
      <c r="G163" s="586"/>
      <c r="H163" s="586"/>
      <c r="I163" s="586"/>
      <c r="J163" s="585"/>
      <c r="K163" s="586"/>
      <c r="L163" s="585"/>
      <c r="M163" s="579"/>
      <c r="N163" s="586"/>
      <c r="O163" s="586"/>
      <c r="P163" s="586"/>
      <c r="Q163" s="585"/>
      <c r="R163" s="586"/>
      <c r="S163" s="585"/>
      <c r="T163" s="581"/>
      <c r="U163" s="586"/>
      <c r="V163" s="586"/>
      <c r="W163" s="586"/>
      <c r="X163" s="585"/>
      <c r="Y163" s="586"/>
      <c r="Z163" s="343"/>
      <c r="AA163" s="696">
        <v>151</v>
      </c>
      <c r="AB163" s="577"/>
      <c r="AF163" s="386">
        <f t="shared" si="3"/>
        <v>1</v>
      </c>
    </row>
    <row r="164" spans="1:32" ht="18.75" x14ac:dyDescent="0.25">
      <c r="A164" s="823">
        <v>155</v>
      </c>
      <c r="B164" s="1234" t="s">
        <v>69</v>
      </c>
      <c r="C164" s="1234"/>
      <c r="D164" s="587"/>
      <c r="E164" s="587" t="s">
        <v>393</v>
      </c>
      <c r="F164" s="570"/>
      <c r="G164" s="570"/>
      <c r="H164" s="570"/>
      <c r="I164" s="570"/>
      <c r="J164" s="571"/>
      <c r="K164" s="570"/>
      <c r="L164" s="571"/>
      <c r="M164" s="579"/>
      <c r="N164" s="570"/>
      <c r="O164" s="570"/>
      <c r="P164" s="570"/>
      <c r="Q164" s="571"/>
      <c r="R164" s="570"/>
      <c r="S164" s="571"/>
      <c r="T164" s="581"/>
      <c r="U164" s="570"/>
      <c r="V164" s="570"/>
      <c r="W164" s="570"/>
      <c r="X164" s="571"/>
      <c r="Y164" s="570"/>
      <c r="Z164" s="411"/>
      <c r="AA164" s="696">
        <v>152</v>
      </c>
      <c r="AB164" s="577"/>
      <c r="AF164" s="386">
        <f t="shared" si="3"/>
        <v>1</v>
      </c>
    </row>
    <row r="165" spans="1:32" x14ac:dyDescent="0.25">
      <c r="A165" s="823">
        <v>156</v>
      </c>
      <c r="B165" s="1234" t="s">
        <v>69</v>
      </c>
      <c r="C165" s="1234"/>
      <c r="D165" s="1256" t="str">
        <f>VLOOKUP($A165,'Pre-Assessment Estimator'!$A$10:$Z$228,D$2,FALSE)</f>
        <v>LE 01</v>
      </c>
      <c r="E165" s="1256" t="str">
        <f>VLOOKUP($A165,'Pre-Assessment Estimator'!$A$10:$Z$228,E$2,FALSE)</f>
        <v>LE 01 Site selection</v>
      </c>
      <c r="F165" s="574">
        <f>VLOOKUP($A165,'Pre-Assessment Estimator'!$A$10:$Z$228,F$2,FALSE)</f>
        <v>2</v>
      </c>
      <c r="G165" s="580" t="str">
        <f>IF(VLOOKUP($A165,'Pre-Assessment Estimator'!$A$10:$Z$228,G$2,FALSE)=0,"",VLOOKUP($A165,'Pre-Assessment Estimator'!$A$10:$Z$228,G$2,FALSE))</f>
        <v/>
      </c>
      <c r="H165" s="1220" t="str">
        <f>VLOOKUP($A165,'Pre-Assessment Estimator'!$A$10:$Z$228,H$2,FALSE)</f>
        <v>0 c. 0 %</v>
      </c>
      <c r="I165" s="576" t="str">
        <f>VLOOKUP($A165,'Pre-Assessment Estimator'!$A$10:$Z$228,I$2,FALSE)</f>
        <v>N/A</v>
      </c>
      <c r="J165" s="577" t="str">
        <f>IF(VLOOKUP($A165,'Pre-Assessment Estimator'!$A$10:$Z$228,J$2,FALSE)=0,"",VLOOKUP($A165,'Pre-Assessment Estimator'!$A$10:$Z$228,J$2,FALSE))</f>
        <v/>
      </c>
      <c r="K165" s="577" t="str">
        <f>IF(VLOOKUP($A165,'Pre-Assessment Estimator'!$A$10:$Z$228,K$2,FALSE)=0,"",VLOOKUP($A165,'Pre-Assessment Estimator'!$A$10:$Z$228,K$2,FALSE))</f>
        <v/>
      </c>
      <c r="L165" s="578" t="str">
        <f>IF(VLOOKUP($A165,'Pre-Assessment Estimator'!$A$10:$Z$228,L$2,FALSE)=0,"",VLOOKUP($A165,'Pre-Assessment Estimator'!$A$10:$Z$228,L$2,FALSE))</f>
        <v/>
      </c>
      <c r="M165" s="579"/>
      <c r="N165" s="580" t="str">
        <f>IF(VLOOKUP($A165,'Pre-Assessment Estimator'!$A$10:$Z$228,N$2,FALSE)=0,"",VLOOKUP($A165,'Pre-Assessment Estimator'!$A$10:$Z$228,N$2,FALSE))</f>
        <v/>
      </c>
      <c r="O165" s="575" t="str">
        <f>VLOOKUP($A165,'Pre-Assessment Estimator'!$A$10:$Z$228,O$2,FALSE)</f>
        <v>0 c. 0 %</v>
      </c>
      <c r="P165" s="574" t="str">
        <f>VLOOKUP($A165,'Pre-Assessment Estimator'!$A$10:$Z$228,P$2,FALSE)</f>
        <v>N/A</v>
      </c>
      <c r="Q165" s="577" t="str">
        <f>IF(VLOOKUP($A165,'Pre-Assessment Estimator'!$A$10:$Z$228,Q$2,FALSE)=0,"",VLOOKUP($A165,'Pre-Assessment Estimator'!$A$10:$Z$228,Q$2,FALSE))</f>
        <v/>
      </c>
      <c r="R165" s="577" t="str">
        <f>IF(VLOOKUP($A165,'Pre-Assessment Estimator'!$A$10:$Z$228,R$2,FALSE)=0,"",VLOOKUP($A165,'Pre-Assessment Estimator'!$A$10:$Z$228,R$2,FALSE))</f>
        <v/>
      </c>
      <c r="S165" s="578" t="str">
        <f>IF(VLOOKUP($A165,'Pre-Assessment Estimator'!$A$10:$Z$228,S$2,FALSE)=0,"",VLOOKUP($A165,'Pre-Assessment Estimator'!$A$10:$Z$228,S$2,FALSE))</f>
        <v/>
      </c>
      <c r="T165" s="581"/>
      <c r="U165" s="580" t="str">
        <f>IF(VLOOKUP($A165,'Pre-Assessment Estimator'!$A$10:$Z$228,U$2,FALSE)=0,"",VLOOKUP($A165,'Pre-Assessment Estimator'!$A$10:$Z$228,U$2,FALSE))</f>
        <v/>
      </c>
      <c r="V165" s="575" t="str">
        <f>VLOOKUP($A165,'Pre-Assessment Estimator'!$A$10:$Z$228,V$2,FALSE)</f>
        <v>0 c. 0 %</v>
      </c>
      <c r="W165" s="574" t="str">
        <f>VLOOKUP($A165,'Pre-Assessment Estimator'!$A$10:$Z$228,W$2,FALSE)</f>
        <v>N/A</v>
      </c>
      <c r="X165" s="577" t="str">
        <f>IF(VLOOKUP($A165,'Pre-Assessment Estimator'!$A$10:$Z$228,X$2,FALSE)=0,"",VLOOKUP($A165,'Pre-Assessment Estimator'!$A$10:$Z$228,X$2,FALSE))</f>
        <v/>
      </c>
      <c r="Y165" s="577" t="str">
        <f>IF(VLOOKUP($A165,'Pre-Assessment Estimator'!$A$10:$Z$228,Y$2,FALSE)=0,"",VLOOKUP($A165,'Pre-Assessment Estimator'!$A$10:$Z$228,Y$2,FALSE))</f>
        <v/>
      </c>
      <c r="Z165" s="370" t="str">
        <f>IF(VLOOKUP($A165,'Pre-Assessment Estimator'!$A$10:$Z$228,Z$2,FALSE)=0,"",VLOOKUP($A165,'Pre-Assessment Estimator'!$A$10:$Z$228,Z$2,FALSE))</f>
        <v/>
      </c>
      <c r="AA165" s="696">
        <v>153</v>
      </c>
      <c r="AB165" s="577"/>
      <c r="AF165" s="386">
        <f t="shared" si="3"/>
        <v>1</v>
      </c>
    </row>
    <row r="166" spans="1:32" x14ac:dyDescent="0.25">
      <c r="A166" s="823">
        <v>157</v>
      </c>
      <c r="B166" s="1234" t="s">
        <v>69</v>
      </c>
      <c r="C166" s="1234"/>
      <c r="D166" s="1257" t="str">
        <f>VLOOKUP($A166,'Pre-Assessment Estimator'!$A$10:$Z$228,D$2,FALSE)</f>
        <v>LE 01</v>
      </c>
      <c r="E166" s="1258" t="str">
        <f>VLOOKUP($A166,'Pre-Assessment Estimator'!$A$10:$Z$228,E$2,FALSE)</f>
        <v>Previously occupied land</v>
      </c>
      <c r="F166" s="574">
        <f>VLOOKUP($A166,'Pre-Assessment Estimator'!$A$10:$Z$228,F$2,FALSE)</f>
        <v>2</v>
      </c>
      <c r="G166" s="580" t="str">
        <f>IF(VLOOKUP($A166,'Pre-Assessment Estimator'!$A$10:$Z$228,G$2,FALSE)=0,"",VLOOKUP($A166,'Pre-Assessment Estimator'!$A$10:$Z$228,G$2,FALSE))</f>
        <v/>
      </c>
      <c r="H166" s="1220">
        <f>VLOOKUP($A166,'Pre-Assessment Estimator'!$A$10:$Z$228,H$2,FALSE)</f>
        <v>0</v>
      </c>
      <c r="I166" s="576" t="str">
        <f>VLOOKUP($A166,'Pre-Assessment Estimator'!$A$10:$Z$228,I$2,FALSE)</f>
        <v>N/A</v>
      </c>
      <c r="J166" s="577" t="str">
        <f>IF(VLOOKUP($A166,'Pre-Assessment Estimator'!$A$10:$Z$228,J$2,FALSE)=0,"",VLOOKUP($A166,'Pre-Assessment Estimator'!$A$10:$Z$228,J$2,FALSE))</f>
        <v/>
      </c>
      <c r="K166" s="577" t="str">
        <f>IF(VLOOKUP($A166,'Pre-Assessment Estimator'!$A$10:$Z$228,K$2,FALSE)=0,"",VLOOKUP($A166,'Pre-Assessment Estimator'!$A$10:$Z$228,K$2,FALSE))</f>
        <v/>
      </c>
      <c r="L166" s="578" t="str">
        <f>IF(VLOOKUP($A166,'Pre-Assessment Estimator'!$A$10:$Z$228,L$2,FALSE)=0,"",VLOOKUP($A166,'Pre-Assessment Estimator'!$A$10:$Z$228,L$2,FALSE))</f>
        <v/>
      </c>
      <c r="M166" s="579"/>
      <c r="N166" s="580" t="str">
        <f>IF(VLOOKUP($A166,'Pre-Assessment Estimator'!$A$10:$Z$228,N$2,FALSE)=0,"",VLOOKUP($A166,'Pre-Assessment Estimator'!$A$10:$Z$228,N$2,FALSE))</f>
        <v/>
      </c>
      <c r="O166" s="575">
        <f>VLOOKUP($A166,'Pre-Assessment Estimator'!$A$10:$Z$228,O$2,FALSE)</f>
        <v>0</v>
      </c>
      <c r="P166" s="574" t="str">
        <f>VLOOKUP($A166,'Pre-Assessment Estimator'!$A$10:$Z$228,P$2,FALSE)</f>
        <v>N/A</v>
      </c>
      <c r="Q166" s="577" t="str">
        <f>IF(VLOOKUP($A166,'Pre-Assessment Estimator'!$A$10:$Z$228,Q$2,FALSE)=0,"",VLOOKUP($A166,'Pre-Assessment Estimator'!$A$10:$Z$228,Q$2,FALSE))</f>
        <v/>
      </c>
      <c r="R166" s="577" t="str">
        <f>IF(VLOOKUP($A166,'Pre-Assessment Estimator'!$A$10:$Z$228,R$2,FALSE)=0,"",VLOOKUP($A166,'Pre-Assessment Estimator'!$A$10:$Z$228,R$2,FALSE))</f>
        <v/>
      </c>
      <c r="S166" s="578" t="str">
        <f>IF(VLOOKUP($A166,'Pre-Assessment Estimator'!$A$10:$Z$228,S$2,FALSE)=0,"",VLOOKUP($A166,'Pre-Assessment Estimator'!$A$10:$Z$228,S$2,FALSE))</f>
        <v/>
      </c>
      <c r="T166" s="581"/>
      <c r="U166" s="580" t="str">
        <f>IF(VLOOKUP($A166,'Pre-Assessment Estimator'!$A$10:$Z$228,U$2,FALSE)=0,"",VLOOKUP($A166,'Pre-Assessment Estimator'!$A$10:$Z$228,U$2,FALSE))</f>
        <v/>
      </c>
      <c r="V166" s="575">
        <f>VLOOKUP($A166,'Pre-Assessment Estimator'!$A$10:$Z$228,V$2,FALSE)</f>
        <v>0</v>
      </c>
      <c r="W166" s="574" t="str">
        <f>VLOOKUP($A166,'Pre-Assessment Estimator'!$A$10:$Z$228,W$2,FALSE)</f>
        <v>N/A</v>
      </c>
      <c r="X166" s="577" t="str">
        <f>IF(VLOOKUP($A166,'Pre-Assessment Estimator'!$A$10:$Z$228,X$2,FALSE)=0,"",VLOOKUP($A166,'Pre-Assessment Estimator'!$A$10:$Z$228,X$2,FALSE))</f>
        <v/>
      </c>
      <c r="Y166" s="577" t="str">
        <f>IF(VLOOKUP($A166,'Pre-Assessment Estimator'!$A$10:$Z$228,Y$2,FALSE)=0,"",VLOOKUP($A166,'Pre-Assessment Estimator'!$A$10:$Z$228,Y$2,FALSE))</f>
        <v/>
      </c>
      <c r="Z166" s="370" t="str">
        <f>IF(VLOOKUP($A166,'Pre-Assessment Estimator'!$A$10:$Z$228,Z$2,FALSE)=0,"",VLOOKUP($A166,'Pre-Assessment Estimator'!$A$10:$Z$228,Z$2,FALSE))</f>
        <v/>
      </c>
      <c r="AA166" s="696">
        <v>154</v>
      </c>
      <c r="AB166" s="577"/>
      <c r="AF166" s="386">
        <f t="shared" si="3"/>
        <v>1</v>
      </c>
    </row>
    <row r="167" spans="1:32" ht="30" x14ac:dyDescent="0.25">
      <c r="A167" s="823">
        <v>158</v>
      </c>
      <c r="B167" s="1234" t="s">
        <v>69</v>
      </c>
      <c r="C167" s="1234"/>
      <c r="D167" s="1257" t="str">
        <f>VLOOKUP($A167,'Pre-Assessment Estimator'!$A$10:$Z$228,D$2,FALSE)</f>
        <v>LE 01</v>
      </c>
      <c r="E167" s="1258" t="str">
        <f>VLOOKUP($A167,'Pre-Assessment Estimator'!$A$10:$Z$228,E$2,FALSE)</f>
        <v>Minimum req: agricultural area / forest (EU taxonomy requirement: criterion 2)</v>
      </c>
      <c r="F167" s="574" t="str">
        <f>VLOOKUP($A167,'Pre-Assessment Estimator'!$A$10:$Z$228,F$2,FALSE)</f>
        <v>Yes/No</v>
      </c>
      <c r="G167" s="580" t="str">
        <f>IF(VLOOKUP($A167,'Pre-Assessment Estimator'!$A$10:$Z$228,G$2,FALSE)=0,"",VLOOKUP($A167,'Pre-Assessment Estimator'!$A$10:$Z$228,G$2,FALSE))</f>
        <v/>
      </c>
      <c r="H167" s="1220" t="str">
        <f>VLOOKUP($A167,'Pre-Assessment Estimator'!$A$10:$Z$228,H$2,FALSE)</f>
        <v>-</v>
      </c>
      <c r="I167" s="576" t="str">
        <f>VLOOKUP($A167,'Pre-Assessment Estimator'!$A$10:$Z$228,I$2,FALSE)</f>
        <v>Very Good</v>
      </c>
      <c r="J167" s="577" t="str">
        <f>IF(VLOOKUP($A167,'Pre-Assessment Estimator'!$A$10:$Z$228,J$2,FALSE)=0,"",VLOOKUP($A167,'Pre-Assessment Estimator'!$A$10:$Z$228,J$2,FALSE))</f>
        <v/>
      </c>
      <c r="K167" s="577" t="str">
        <f>IF(VLOOKUP($A167,'Pre-Assessment Estimator'!$A$10:$Z$228,K$2,FALSE)=0,"",VLOOKUP($A167,'Pre-Assessment Estimator'!$A$10:$Z$228,K$2,FALSE))</f>
        <v/>
      </c>
      <c r="L167" s="578" t="str">
        <f>IF(VLOOKUP($A167,'Pre-Assessment Estimator'!$A$10:$Z$228,L$2,FALSE)=0,"",VLOOKUP($A167,'Pre-Assessment Estimator'!$A$10:$Z$228,L$2,FALSE))</f>
        <v/>
      </c>
      <c r="M167" s="579"/>
      <c r="N167" s="580" t="str">
        <f>IF(VLOOKUP($A167,'Pre-Assessment Estimator'!$A$10:$Z$228,N$2,FALSE)=0,"",VLOOKUP($A167,'Pre-Assessment Estimator'!$A$10:$Z$228,N$2,FALSE))</f>
        <v/>
      </c>
      <c r="O167" s="575" t="str">
        <f>VLOOKUP($A167,'Pre-Assessment Estimator'!$A$10:$Z$228,O$2,FALSE)</f>
        <v>-</v>
      </c>
      <c r="P167" s="574" t="str">
        <f>VLOOKUP($A167,'Pre-Assessment Estimator'!$A$10:$Z$228,P$2,FALSE)</f>
        <v>Very Good</v>
      </c>
      <c r="Q167" s="577" t="str">
        <f>IF(VLOOKUP($A167,'Pre-Assessment Estimator'!$A$10:$Z$228,Q$2,FALSE)=0,"",VLOOKUP($A167,'Pre-Assessment Estimator'!$A$10:$Z$228,Q$2,FALSE))</f>
        <v/>
      </c>
      <c r="R167" s="577" t="str">
        <f>IF(VLOOKUP($A167,'Pre-Assessment Estimator'!$A$10:$Z$228,R$2,FALSE)=0,"",VLOOKUP($A167,'Pre-Assessment Estimator'!$A$10:$Z$228,R$2,FALSE))</f>
        <v/>
      </c>
      <c r="S167" s="578" t="str">
        <f>IF(VLOOKUP($A167,'Pre-Assessment Estimator'!$A$10:$Z$228,S$2,FALSE)=0,"",VLOOKUP($A167,'Pre-Assessment Estimator'!$A$10:$Z$228,S$2,FALSE))</f>
        <v/>
      </c>
      <c r="T167" s="581"/>
      <c r="U167" s="580" t="str">
        <f>IF(VLOOKUP($A167,'Pre-Assessment Estimator'!$A$10:$Z$228,U$2,FALSE)=0,"",VLOOKUP($A167,'Pre-Assessment Estimator'!$A$10:$Z$228,U$2,FALSE))</f>
        <v/>
      </c>
      <c r="V167" s="575" t="str">
        <f>VLOOKUP($A167,'Pre-Assessment Estimator'!$A$10:$Z$228,V$2,FALSE)</f>
        <v>-</v>
      </c>
      <c r="W167" s="574" t="str">
        <f>VLOOKUP($A167,'Pre-Assessment Estimator'!$A$10:$Z$228,W$2,FALSE)</f>
        <v>Very Good</v>
      </c>
      <c r="X167" s="577" t="str">
        <f>IF(VLOOKUP($A167,'Pre-Assessment Estimator'!$A$10:$Z$228,X$2,FALSE)=0,"",VLOOKUP($A167,'Pre-Assessment Estimator'!$A$10:$Z$228,X$2,FALSE))</f>
        <v/>
      </c>
      <c r="Y167" s="577" t="str">
        <f>IF(VLOOKUP($A167,'Pre-Assessment Estimator'!$A$10:$Z$228,Y$2,FALSE)=0,"",VLOOKUP($A167,'Pre-Assessment Estimator'!$A$10:$Z$228,Y$2,FALSE))</f>
        <v/>
      </c>
      <c r="Z167" s="370" t="str">
        <f>IF(VLOOKUP($A167,'Pre-Assessment Estimator'!$A$10:$Z$228,Z$2,FALSE)=0,"",VLOOKUP($A167,'Pre-Assessment Estimator'!$A$10:$Z$228,Z$2,FALSE))</f>
        <v/>
      </c>
      <c r="AA167" s="696">
        <v>155</v>
      </c>
      <c r="AB167" s="577"/>
      <c r="AF167" s="386">
        <f t="shared" si="3"/>
        <v>1</v>
      </c>
    </row>
    <row r="168" spans="1:32" x14ac:dyDescent="0.25">
      <c r="A168" s="823">
        <v>159</v>
      </c>
      <c r="B168" s="1234" t="s">
        <v>69</v>
      </c>
      <c r="C168" s="1234"/>
      <c r="D168" s="1256" t="str">
        <f>VLOOKUP($A168,'Pre-Assessment Estimator'!$A$10:$Z$228,D$2,FALSE)</f>
        <v>LE 02</v>
      </c>
      <c r="E168" s="1256" t="str">
        <f>VLOOKUP($A168,'Pre-Assessment Estimator'!$A$10:$Z$228,E$2,FALSE)</f>
        <v>LE 02 Ecological risks and opportunities</v>
      </c>
      <c r="F168" s="574">
        <f>VLOOKUP($A168,'Pre-Assessment Estimator'!$A$10:$Z$228,F$2,FALSE)</f>
        <v>2</v>
      </c>
      <c r="G168" s="580" t="str">
        <f>IF(VLOOKUP($A168,'Pre-Assessment Estimator'!$A$10:$Z$228,G$2,FALSE)=0,"",VLOOKUP($A168,'Pre-Assessment Estimator'!$A$10:$Z$228,G$2,FALSE))</f>
        <v/>
      </c>
      <c r="H168" s="1220" t="str">
        <f>VLOOKUP($A168,'Pre-Assessment Estimator'!$A$10:$Z$228,H$2,FALSE)</f>
        <v>0 c. 0 %</v>
      </c>
      <c r="I168" s="576" t="str">
        <f>VLOOKUP($A168,'Pre-Assessment Estimator'!$A$10:$Z$228,I$2,FALSE)</f>
        <v>N/A</v>
      </c>
      <c r="J168" s="577" t="str">
        <f>IF(VLOOKUP($A168,'Pre-Assessment Estimator'!$A$10:$Z$228,J$2,FALSE)=0,"",VLOOKUP($A168,'Pre-Assessment Estimator'!$A$10:$Z$228,J$2,FALSE))</f>
        <v/>
      </c>
      <c r="K168" s="577" t="str">
        <f>IF(VLOOKUP($A168,'Pre-Assessment Estimator'!$A$10:$Z$228,K$2,FALSE)=0,"",VLOOKUP($A168,'Pre-Assessment Estimator'!$A$10:$Z$228,K$2,FALSE))</f>
        <v/>
      </c>
      <c r="L168" s="578" t="str">
        <f>IF(VLOOKUP($A168,'Pre-Assessment Estimator'!$A$10:$Z$228,L$2,FALSE)=0,"",VLOOKUP($A168,'Pre-Assessment Estimator'!$A$10:$Z$228,L$2,FALSE))</f>
        <v/>
      </c>
      <c r="M168" s="579"/>
      <c r="N168" s="580" t="str">
        <f>IF(VLOOKUP($A168,'Pre-Assessment Estimator'!$A$10:$Z$228,N$2,FALSE)=0,"",VLOOKUP($A168,'Pre-Assessment Estimator'!$A$10:$Z$228,N$2,FALSE))</f>
        <v/>
      </c>
      <c r="O168" s="575" t="str">
        <f>VLOOKUP($A168,'Pre-Assessment Estimator'!$A$10:$Z$228,O$2,FALSE)</f>
        <v>0 c. 0 %</v>
      </c>
      <c r="P168" s="574" t="str">
        <f>VLOOKUP($A168,'Pre-Assessment Estimator'!$A$10:$Z$228,P$2,FALSE)</f>
        <v>N/A</v>
      </c>
      <c r="Q168" s="577" t="str">
        <f>IF(VLOOKUP($A168,'Pre-Assessment Estimator'!$A$10:$Z$228,Q$2,FALSE)=0,"",VLOOKUP($A168,'Pre-Assessment Estimator'!$A$10:$Z$228,Q$2,FALSE))</f>
        <v/>
      </c>
      <c r="R168" s="577" t="str">
        <f>IF(VLOOKUP($A168,'Pre-Assessment Estimator'!$A$10:$Z$228,R$2,FALSE)=0,"",VLOOKUP($A168,'Pre-Assessment Estimator'!$A$10:$Z$228,R$2,FALSE))</f>
        <v/>
      </c>
      <c r="S168" s="578" t="str">
        <f>IF(VLOOKUP($A168,'Pre-Assessment Estimator'!$A$10:$Z$228,S$2,FALSE)=0,"",VLOOKUP($A168,'Pre-Assessment Estimator'!$A$10:$Z$228,S$2,FALSE))</f>
        <v/>
      </c>
      <c r="T168" s="581"/>
      <c r="U168" s="580" t="str">
        <f>IF(VLOOKUP($A168,'Pre-Assessment Estimator'!$A$10:$Z$228,U$2,FALSE)=0,"",VLOOKUP($A168,'Pre-Assessment Estimator'!$A$10:$Z$228,U$2,FALSE))</f>
        <v/>
      </c>
      <c r="V168" s="575" t="str">
        <f>VLOOKUP($A168,'Pre-Assessment Estimator'!$A$10:$Z$228,V$2,FALSE)</f>
        <v>0 c. 0 %</v>
      </c>
      <c r="W168" s="574" t="str">
        <f>VLOOKUP($A168,'Pre-Assessment Estimator'!$A$10:$Z$228,W$2,FALSE)</f>
        <v>N/A</v>
      </c>
      <c r="X168" s="577" t="str">
        <f>IF(VLOOKUP($A168,'Pre-Assessment Estimator'!$A$10:$Z$228,X$2,FALSE)=0,"",VLOOKUP($A168,'Pre-Assessment Estimator'!$A$10:$Z$228,X$2,FALSE))</f>
        <v/>
      </c>
      <c r="Y168" s="577" t="str">
        <f>IF(VLOOKUP($A168,'Pre-Assessment Estimator'!$A$10:$Z$228,Y$2,FALSE)=0,"",VLOOKUP($A168,'Pre-Assessment Estimator'!$A$10:$Z$228,Y$2,FALSE))</f>
        <v/>
      </c>
      <c r="Z168" s="370" t="str">
        <f>IF(VLOOKUP($A168,'Pre-Assessment Estimator'!$A$10:$Z$228,Z$2,FALSE)=0,"",VLOOKUP($A168,'Pre-Assessment Estimator'!$A$10:$Z$228,Z$2,FALSE))</f>
        <v/>
      </c>
      <c r="AA168" s="696">
        <v>156</v>
      </c>
      <c r="AB168" s="577"/>
      <c r="AF168" s="386">
        <f t="shared" si="3"/>
        <v>1</v>
      </c>
    </row>
    <row r="169" spans="1:32" x14ac:dyDescent="0.25">
      <c r="A169" s="823">
        <v>160</v>
      </c>
      <c r="B169" s="1234" t="s">
        <v>69</v>
      </c>
      <c r="C169" s="1234"/>
      <c r="D169" s="1257" t="str">
        <f>VLOOKUP($A169,'Pre-Assessment Estimator'!$A$10:$Z$228,D$2,FALSE)</f>
        <v>LE 02</v>
      </c>
      <c r="E169" s="1258" t="str">
        <f>VLOOKUP($A169,'Pre-Assessment Estimator'!$A$10:$Z$228,E$2,FALSE)</f>
        <v>Pre-requisite: statutory obligations fulfilled</v>
      </c>
      <c r="F169" s="574" t="str">
        <f>VLOOKUP($A169,'Pre-Assessment Estimator'!$A$10:$Z$228,F$2,FALSE)</f>
        <v>Yes/No</v>
      </c>
      <c r="G169" s="580" t="str">
        <f>IF(VLOOKUP($A169,'Pre-Assessment Estimator'!$A$10:$Z$228,G$2,FALSE)=0,"",VLOOKUP($A169,'Pre-Assessment Estimator'!$A$10:$Z$228,G$2,FALSE))</f>
        <v/>
      </c>
      <c r="H169" s="1220" t="str">
        <f>VLOOKUP($A169,'Pre-Assessment Estimator'!$A$10:$Z$228,H$2,FALSE)</f>
        <v>-</v>
      </c>
      <c r="I169" s="576" t="str">
        <f>VLOOKUP($A169,'Pre-Assessment Estimator'!$A$10:$Z$228,I$2,FALSE)</f>
        <v>N/A</v>
      </c>
      <c r="J169" s="577" t="str">
        <f>IF(VLOOKUP($A169,'Pre-Assessment Estimator'!$A$10:$Z$228,J$2,FALSE)=0,"",VLOOKUP($A169,'Pre-Assessment Estimator'!$A$10:$Z$228,J$2,FALSE))</f>
        <v/>
      </c>
      <c r="K169" s="577" t="str">
        <f>IF(VLOOKUP($A169,'Pre-Assessment Estimator'!$A$10:$Z$228,K$2,FALSE)=0,"",VLOOKUP($A169,'Pre-Assessment Estimator'!$A$10:$Z$228,K$2,FALSE))</f>
        <v/>
      </c>
      <c r="L169" s="578" t="str">
        <f>IF(VLOOKUP($A169,'Pre-Assessment Estimator'!$A$10:$Z$228,L$2,FALSE)=0,"",VLOOKUP($A169,'Pre-Assessment Estimator'!$A$10:$Z$228,L$2,FALSE))</f>
        <v/>
      </c>
      <c r="M169" s="579"/>
      <c r="N169" s="580" t="str">
        <f>IF(VLOOKUP($A169,'Pre-Assessment Estimator'!$A$10:$Z$228,N$2,FALSE)=0,"",VLOOKUP($A169,'Pre-Assessment Estimator'!$A$10:$Z$228,N$2,FALSE))</f>
        <v/>
      </c>
      <c r="O169" s="575" t="str">
        <f>VLOOKUP($A169,'Pre-Assessment Estimator'!$A$10:$Z$228,O$2,FALSE)</f>
        <v>-</v>
      </c>
      <c r="P169" s="574" t="str">
        <f>VLOOKUP($A169,'Pre-Assessment Estimator'!$A$10:$Z$228,P$2,FALSE)</f>
        <v>N/A</v>
      </c>
      <c r="Q169" s="577" t="str">
        <f>IF(VLOOKUP($A169,'Pre-Assessment Estimator'!$A$10:$Z$228,Q$2,FALSE)=0,"",VLOOKUP($A169,'Pre-Assessment Estimator'!$A$10:$Z$228,Q$2,FALSE))</f>
        <v/>
      </c>
      <c r="R169" s="577" t="str">
        <f>IF(VLOOKUP($A169,'Pre-Assessment Estimator'!$A$10:$Z$228,R$2,FALSE)=0,"",VLOOKUP($A169,'Pre-Assessment Estimator'!$A$10:$Z$228,R$2,FALSE))</f>
        <v/>
      </c>
      <c r="S169" s="578" t="str">
        <f>IF(VLOOKUP($A169,'Pre-Assessment Estimator'!$A$10:$Z$228,S$2,FALSE)=0,"",VLOOKUP($A169,'Pre-Assessment Estimator'!$A$10:$Z$228,S$2,FALSE))</f>
        <v/>
      </c>
      <c r="T169" s="581"/>
      <c r="U169" s="580" t="str">
        <f>IF(VLOOKUP($A169,'Pre-Assessment Estimator'!$A$10:$Z$228,U$2,FALSE)=0,"",VLOOKUP($A169,'Pre-Assessment Estimator'!$A$10:$Z$228,U$2,FALSE))</f>
        <v/>
      </c>
      <c r="V169" s="575" t="str">
        <f>VLOOKUP($A169,'Pre-Assessment Estimator'!$A$10:$Z$228,V$2,FALSE)</f>
        <v>-</v>
      </c>
      <c r="W169" s="574" t="str">
        <f>VLOOKUP($A169,'Pre-Assessment Estimator'!$A$10:$Z$228,W$2,FALSE)</f>
        <v>N/A</v>
      </c>
      <c r="X169" s="577" t="str">
        <f>IF(VLOOKUP($A169,'Pre-Assessment Estimator'!$A$10:$Z$228,X$2,FALSE)=0,"",VLOOKUP($A169,'Pre-Assessment Estimator'!$A$10:$Z$228,X$2,FALSE))</f>
        <v/>
      </c>
      <c r="Y169" s="577" t="str">
        <f>IF(VLOOKUP($A169,'Pre-Assessment Estimator'!$A$10:$Z$228,Y$2,FALSE)=0,"",VLOOKUP($A169,'Pre-Assessment Estimator'!$A$10:$Z$228,Y$2,FALSE))</f>
        <v/>
      </c>
      <c r="Z169" s="370" t="str">
        <f>IF(VLOOKUP($A169,'Pre-Assessment Estimator'!$A$10:$Z$228,Z$2,FALSE)=0,"",VLOOKUP($A169,'Pre-Assessment Estimator'!$A$10:$Z$228,Z$2,FALSE))</f>
        <v/>
      </c>
      <c r="AA169" s="696">
        <v>157</v>
      </c>
      <c r="AB169" s="577"/>
      <c r="AF169" s="386">
        <f t="shared" si="3"/>
        <v>1</v>
      </c>
    </row>
    <row r="170" spans="1:32" x14ac:dyDescent="0.25">
      <c r="A170" s="823">
        <v>161</v>
      </c>
      <c r="B170" s="1234" t="s">
        <v>69</v>
      </c>
      <c r="C170" s="1234"/>
      <c r="D170" s="1257" t="str">
        <f>VLOOKUP($A170,'Pre-Assessment Estimator'!$A$10:$Z$228,D$2,FALSE)</f>
        <v>LE 02</v>
      </c>
      <c r="E170" s="1258" t="str">
        <f>VLOOKUP($A170,'Pre-Assessment Estimator'!$A$10:$Z$228,E$2,FALSE)</f>
        <v>Survey and evaluation (EU taxonomy requirement: criterion 2-4)</v>
      </c>
      <c r="F170" s="574">
        <f>VLOOKUP($A170,'Pre-Assessment Estimator'!$A$10:$Z$228,F$2,FALSE)</f>
        <v>1</v>
      </c>
      <c r="G170" s="580" t="str">
        <f>IF(VLOOKUP($A170,'Pre-Assessment Estimator'!$A$10:$Z$228,G$2,FALSE)=0,"",VLOOKUP($A170,'Pre-Assessment Estimator'!$A$10:$Z$228,G$2,FALSE))</f>
        <v/>
      </c>
      <c r="H170" s="1220">
        <f>VLOOKUP($A170,'Pre-Assessment Estimator'!$A$10:$Z$228,H$2,FALSE)</f>
        <v>0</v>
      </c>
      <c r="I170" s="576" t="str">
        <f>VLOOKUP($A170,'Pre-Assessment Estimator'!$A$10:$Z$228,I$2,FALSE)</f>
        <v>Good</v>
      </c>
      <c r="J170" s="577" t="str">
        <f>IF(VLOOKUP($A170,'Pre-Assessment Estimator'!$A$10:$Z$228,J$2,FALSE)=0,"",VLOOKUP($A170,'Pre-Assessment Estimator'!$A$10:$Z$228,J$2,FALSE))</f>
        <v/>
      </c>
      <c r="K170" s="577" t="str">
        <f>IF(VLOOKUP($A170,'Pre-Assessment Estimator'!$A$10:$Z$228,K$2,FALSE)=0,"",VLOOKUP($A170,'Pre-Assessment Estimator'!$A$10:$Z$228,K$2,FALSE))</f>
        <v/>
      </c>
      <c r="L170" s="578" t="str">
        <f>IF(VLOOKUP($A170,'Pre-Assessment Estimator'!$A$10:$Z$228,L$2,FALSE)=0,"",VLOOKUP($A170,'Pre-Assessment Estimator'!$A$10:$Z$228,L$2,FALSE))</f>
        <v/>
      </c>
      <c r="M170" s="579"/>
      <c r="N170" s="580" t="str">
        <f>IF(VLOOKUP($A170,'Pre-Assessment Estimator'!$A$10:$Z$228,N$2,FALSE)=0,"",VLOOKUP($A170,'Pre-Assessment Estimator'!$A$10:$Z$228,N$2,FALSE))</f>
        <v/>
      </c>
      <c r="O170" s="575">
        <f>VLOOKUP($A170,'Pre-Assessment Estimator'!$A$10:$Z$228,O$2,FALSE)</f>
        <v>0</v>
      </c>
      <c r="P170" s="574" t="str">
        <f>VLOOKUP($A170,'Pre-Assessment Estimator'!$A$10:$Z$228,P$2,FALSE)</f>
        <v>Good</v>
      </c>
      <c r="Q170" s="577" t="str">
        <f>IF(VLOOKUP($A170,'Pre-Assessment Estimator'!$A$10:$Z$228,Q$2,FALSE)=0,"",VLOOKUP($A170,'Pre-Assessment Estimator'!$A$10:$Z$228,Q$2,FALSE))</f>
        <v/>
      </c>
      <c r="R170" s="577" t="str">
        <f>IF(VLOOKUP($A170,'Pre-Assessment Estimator'!$A$10:$Z$228,R$2,FALSE)=0,"",VLOOKUP($A170,'Pre-Assessment Estimator'!$A$10:$Z$228,R$2,FALSE))</f>
        <v/>
      </c>
      <c r="S170" s="578" t="str">
        <f>IF(VLOOKUP($A170,'Pre-Assessment Estimator'!$A$10:$Z$228,S$2,FALSE)=0,"",VLOOKUP($A170,'Pre-Assessment Estimator'!$A$10:$Z$228,S$2,FALSE))</f>
        <v/>
      </c>
      <c r="T170" s="581"/>
      <c r="U170" s="580" t="str">
        <f>IF(VLOOKUP($A170,'Pre-Assessment Estimator'!$A$10:$Z$228,U$2,FALSE)=0,"",VLOOKUP($A170,'Pre-Assessment Estimator'!$A$10:$Z$228,U$2,FALSE))</f>
        <v/>
      </c>
      <c r="V170" s="575">
        <f>VLOOKUP($A170,'Pre-Assessment Estimator'!$A$10:$Z$228,V$2,FALSE)</f>
        <v>0</v>
      </c>
      <c r="W170" s="574" t="str">
        <f>VLOOKUP($A170,'Pre-Assessment Estimator'!$A$10:$Z$228,W$2,FALSE)</f>
        <v>Good</v>
      </c>
      <c r="X170" s="577" t="str">
        <f>IF(VLOOKUP($A170,'Pre-Assessment Estimator'!$A$10:$Z$228,X$2,FALSE)=0,"",VLOOKUP($A170,'Pre-Assessment Estimator'!$A$10:$Z$228,X$2,FALSE))</f>
        <v/>
      </c>
      <c r="Y170" s="577" t="str">
        <f>IF(VLOOKUP($A170,'Pre-Assessment Estimator'!$A$10:$Z$228,Y$2,FALSE)=0,"",VLOOKUP($A170,'Pre-Assessment Estimator'!$A$10:$Z$228,Y$2,FALSE))</f>
        <v/>
      </c>
      <c r="Z170" s="370" t="str">
        <f>IF(VLOOKUP($A170,'Pre-Assessment Estimator'!$A$10:$Z$228,Z$2,FALSE)=0,"",VLOOKUP($A170,'Pre-Assessment Estimator'!$A$10:$Z$228,Z$2,FALSE))</f>
        <v/>
      </c>
      <c r="AA170" s="696">
        <v>158</v>
      </c>
      <c r="AB170" s="577"/>
      <c r="AF170" s="386">
        <f t="shared" si="3"/>
        <v>1</v>
      </c>
    </row>
    <row r="171" spans="1:32" x14ac:dyDescent="0.25">
      <c r="A171" s="823">
        <v>162</v>
      </c>
      <c r="B171" s="1234" t="s">
        <v>69</v>
      </c>
      <c r="C171" s="1234"/>
      <c r="D171" s="1257" t="str">
        <f>VLOOKUP($A171,'Pre-Assessment Estimator'!$A$10:$Z$228,D$2,FALSE)</f>
        <v>LE 02</v>
      </c>
      <c r="E171" s="1258" t="str">
        <f>VLOOKUP($A171,'Pre-Assessment Estimator'!$A$10:$Z$228,E$2,FALSE)</f>
        <v>Determin ecological possibilities</v>
      </c>
      <c r="F171" s="574">
        <f>VLOOKUP($A171,'Pre-Assessment Estimator'!$A$10:$Z$228,F$2,FALSE)</f>
        <v>1</v>
      </c>
      <c r="G171" s="580" t="str">
        <f>IF(VLOOKUP($A171,'Pre-Assessment Estimator'!$A$10:$Z$228,G$2,FALSE)=0,"",VLOOKUP($A171,'Pre-Assessment Estimator'!$A$10:$Z$228,G$2,FALSE))</f>
        <v/>
      </c>
      <c r="H171" s="1220">
        <f>VLOOKUP($A171,'Pre-Assessment Estimator'!$A$10:$Z$228,H$2,FALSE)</f>
        <v>0</v>
      </c>
      <c r="I171" s="576" t="str">
        <f>VLOOKUP($A171,'Pre-Assessment Estimator'!$A$10:$Z$228,I$2,FALSE)</f>
        <v>N/A</v>
      </c>
      <c r="J171" s="577" t="str">
        <f>IF(VLOOKUP($A171,'Pre-Assessment Estimator'!$A$10:$Z$228,J$2,FALSE)=0,"",VLOOKUP($A171,'Pre-Assessment Estimator'!$A$10:$Z$228,J$2,FALSE))</f>
        <v/>
      </c>
      <c r="K171" s="577" t="str">
        <f>IF(VLOOKUP($A171,'Pre-Assessment Estimator'!$A$10:$Z$228,K$2,FALSE)=0,"",VLOOKUP($A171,'Pre-Assessment Estimator'!$A$10:$Z$228,K$2,FALSE))</f>
        <v/>
      </c>
      <c r="L171" s="578" t="str">
        <f>IF(VLOOKUP($A171,'Pre-Assessment Estimator'!$A$10:$Z$228,L$2,FALSE)=0,"",VLOOKUP($A171,'Pre-Assessment Estimator'!$A$10:$Z$228,L$2,FALSE))</f>
        <v/>
      </c>
      <c r="M171" s="579"/>
      <c r="N171" s="580" t="str">
        <f>IF(VLOOKUP($A171,'Pre-Assessment Estimator'!$A$10:$Z$228,N$2,FALSE)=0,"",VLOOKUP($A171,'Pre-Assessment Estimator'!$A$10:$Z$228,N$2,FALSE))</f>
        <v/>
      </c>
      <c r="O171" s="575">
        <f>VLOOKUP($A171,'Pre-Assessment Estimator'!$A$10:$Z$228,O$2,FALSE)</f>
        <v>0</v>
      </c>
      <c r="P171" s="574" t="str">
        <f>VLOOKUP($A171,'Pre-Assessment Estimator'!$A$10:$Z$228,P$2,FALSE)</f>
        <v>N/A</v>
      </c>
      <c r="Q171" s="577" t="str">
        <f>IF(VLOOKUP($A171,'Pre-Assessment Estimator'!$A$10:$Z$228,Q$2,FALSE)=0,"",VLOOKUP($A171,'Pre-Assessment Estimator'!$A$10:$Z$228,Q$2,FALSE))</f>
        <v/>
      </c>
      <c r="R171" s="577" t="str">
        <f>IF(VLOOKUP($A171,'Pre-Assessment Estimator'!$A$10:$Z$228,R$2,FALSE)=0,"",VLOOKUP($A171,'Pre-Assessment Estimator'!$A$10:$Z$228,R$2,FALSE))</f>
        <v/>
      </c>
      <c r="S171" s="578" t="str">
        <f>IF(VLOOKUP($A171,'Pre-Assessment Estimator'!$A$10:$Z$228,S$2,FALSE)=0,"",VLOOKUP($A171,'Pre-Assessment Estimator'!$A$10:$Z$228,S$2,FALSE))</f>
        <v/>
      </c>
      <c r="T171" s="581"/>
      <c r="U171" s="580" t="str">
        <f>IF(VLOOKUP($A171,'Pre-Assessment Estimator'!$A$10:$Z$228,U$2,FALSE)=0,"",VLOOKUP($A171,'Pre-Assessment Estimator'!$A$10:$Z$228,U$2,FALSE))</f>
        <v/>
      </c>
      <c r="V171" s="575">
        <f>VLOOKUP($A171,'Pre-Assessment Estimator'!$A$10:$Z$228,V$2,FALSE)</f>
        <v>0</v>
      </c>
      <c r="W171" s="574" t="str">
        <f>VLOOKUP($A171,'Pre-Assessment Estimator'!$A$10:$Z$228,W$2,FALSE)</f>
        <v>N/A</v>
      </c>
      <c r="X171" s="577" t="str">
        <f>IF(VLOOKUP($A171,'Pre-Assessment Estimator'!$A$10:$Z$228,X$2,FALSE)=0,"",VLOOKUP($A171,'Pre-Assessment Estimator'!$A$10:$Z$228,X$2,FALSE))</f>
        <v/>
      </c>
      <c r="Y171" s="577" t="str">
        <f>IF(VLOOKUP($A171,'Pre-Assessment Estimator'!$A$10:$Z$228,Y$2,FALSE)=0,"",VLOOKUP($A171,'Pre-Assessment Estimator'!$A$10:$Z$228,Y$2,FALSE))</f>
        <v/>
      </c>
      <c r="Z171" s="370" t="str">
        <f>IF(VLOOKUP($A171,'Pre-Assessment Estimator'!$A$10:$Z$228,Z$2,FALSE)=0,"",VLOOKUP($A171,'Pre-Assessment Estimator'!$A$10:$Z$228,Z$2,FALSE))</f>
        <v/>
      </c>
      <c r="AA171" s="696">
        <v>159</v>
      </c>
      <c r="AB171" s="577"/>
      <c r="AF171" s="386">
        <f t="shared" si="3"/>
        <v>1</v>
      </c>
    </row>
    <row r="172" spans="1:32" x14ac:dyDescent="0.25">
      <c r="A172" s="823">
        <v>163</v>
      </c>
      <c r="B172" s="1234" t="s">
        <v>69</v>
      </c>
      <c r="C172" s="1234"/>
      <c r="D172" s="1256" t="str">
        <f>VLOOKUP($A172,'Pre-Assessment Estimator'!$A$10:$Z$228,D$2,FALSE)</f>
        <v>LE 03</v>
      </c>
      <c r="E172" s="1256" t="str">
        <f>VLOOKUP($A172,'Pre-Assessment Estimator'!$A$10:$Z$228,E$2,FALSE)</f>
        <v>LE 03 Managing impacts on ecology</v>
      </c>
      <c r="F172" s="574">
        <f>VLOOKUP($A172,'Pre-Assessment Estimator'!$A$10:$Z$228,F$2,FALSE)</f>
        <v>3</v>
      </c>
      <c r="G172" s="580" t="str">
        <f>IF(VLOOKUP($A172,'Pre-Assessment Estimator'!$A$10:$Z$228,G$2,FALSE)=0,"",VLOOKUP($A172,'Pre-Assessment Estimator'!$A$10:$Z$228,G$2,FALSE))</f>
        <v/>
      </c>
      <c r="H172" s="1220" t="str">
        <f>VLOOKUP($A172,'Pre-Assessment Estimator'!$A$10:$Z$228,H$2,FALSE)</f>
        <v>0 c. 0 %</v>
      </c>
      <c r="I172" s="576" t="str">
        <f>VLOOKUP($A172,'Pre-Assessment Estimator'!$A$10:$Z$228,I$2,FALSE)</f>
        <v>N/A</v>
      </c>
      <c r="J172" s="577" t="str">
        <f>IF(VLOOKUP($A172,'Pre-Assessment Estimator'!$A$10:$Z$228,J$2,FALSE)=0,"",VLOOKUP($A172,'Pre-Assessment Estimator'!$A$10:$Z$228,J$2,FALSE))</f>
        <v/>
      </c>
      <c r="K172" s="577" t="str">
        <f>IF(VLOOKUP($A172,'Pre-Assessment Estimator'!$A$10:$Z$228,K$2,FALSE)=0,"",VLOOKUP($A172,'Pre-Assessment Estimator'!$A$10:$Z$228,K$2,FALSE))</f>
        <v/>
      </c>
      <c r="L172" s="578" t="str">
        <f>IF(VLOOKUP($A172,'Pre-Assessment Estimator'!$A$10:$Z$228,L$2,FALSE)=0,"",VLOOKUP($A172,'Pre-Assessment Estimator'!$A$10:$Z$228,L$2,FALSE))</f>
        <v/>
      </c>
      <c r="M172" s="579"/>
      <c r="N172" s="580" t="str">
        <f>IF(VLOOKUP($A172,'Pre-Assessment Estimator'!$A$10:$Z$228,N$2,FALSE)=0,"",VLOOKUP($A172,'Pre-Assessment Estimator'!$A$10:$Z$228,N$2,FALSE))</f>
        <v/>
      </c>
      <c r="O172" s="575" t="str">
        <f>VLOOKUP($A172,'Pre-Assessment Estimator'!$A$10:$Z$228,O$2,FALSE)</f>
        <v>0 c. 0 %</v>
      </c>
      <c r="P172" s="574" t="str">
        <f>VLOOKUP($A172,'Pre-Assessment Estimator'!$A$10:$Z$228,P$2,FALSE)</f>
        <v>N/A</v>
      </c>
      <c r="Q172" s="577" t="str">
        <f>IF(VLOOKUP($A172,'Pre-Assessment Estimator'!$A$10:$Z$228,Q$2,FALSE)=0,"",VLOOKUP($A172,'Pre-Assessment Estimator'!$A$10:$Z$228,Q$2,FALSE))</f>
        <v/>
      </c>
      <c r="R172" s="577" t="str">
        <f>IF(VLOOKUP($A172,'Pre-Assessment Estimator'!$A$10:$Z$228,R$2,FALSE)=0,"",VLOOKUP($A172,'Pre-Assessment Estimator'!$A$10:$Z$228,R$2,FALSE))</f>
        <v/>
      </c>
      <c r="S172" s="578" t="str">
        <f>IF(VLOOKUP($A172,'Pre-Assessment Estimator'!$A$10:$Z$228,S$2,FALSE)=0,"",VLOOKUP($A172,'Pre-Assessment Estimator'!$A$10:$Z$228,S$2,FALSE))</f>
        <v/>
      </c>
      <c r="T172" s="581"/>
      <c r="U172" s="580" t="str">
        <f>IF(VLOOKUP($A172,'Pre-Assessment Estimator'!$A$10:$Z$228,U$2,FALSE)=0,"",VLOOKUP($A172,'Pre-Assessment Estimator'!$A$10:$Z$228,U$2,FALSE))</f>
        <v/>
      </c>
      <c r="V172" s="575" t="str">
        <f>VLOOKUP($A172,'Pre-Assessment Estimator'!$A$10:$Z$228,V$2,FALSE)</f>
        <v>0 c. 0 %</v>
      </c>
      <c r="W172" s="574" t="str">
        <f>VLOOKUP($A172,'Pre-Assessment Estimator'!$A$10:$Z$228,W$2,FALSE)</f>
        <v>N/A</v>
      </c>
      <c r="X172" s="577" t="str">
        <f>IF(VLOOKUP($A172,'Pre-Assessment Estimator'!$A$10:$Z$228,X$2,FALSE)=0,"",VLOOKUP($A172,'Pre-Assessment Estimator'!$A$10:$Z$228,X$2,FALSE))</f>
        <v/>
      </c>
      <c r="Y172" s="577" t="str">
        <f>IF(VLOOKUP($A172,'Pre-Assessment Estimator'!$A$10:$Z$228,Y$2,FALSE)=0,"",VLOOKUP($A172,'Pre-Assessment Estimator'!$A$10:$Z$228,Y$2,FALSE))</f>
        <v/>
      </c>
      <c r="Z172" s="370" t="str">
        <f>IF(VLOOKUP($A172,'Pre-Assessment Estimator'!$A$10:$Z$228,Z$2,FALSE)=0,"",VLOOKUP($A172,'Pre-Assessment Estimator'!$A$10:$Z$228,Z$2,FALSE))</f>
        <v/>
      </c>
      <c r="AA172" s="696">
        <v>160</v>
      </c>
      <c r="AB172" s="577"/>
      <c r="AF172" s="386">
        <f t="shared" si="3"/>
        <v>1</v>
      </c>
    </row>
    <row r="173" spans="1:32" x14ac:dyDescent="0.25">
      <c r="A173" s="823">
        <v>164</v>
      </c>
      <c r="B173" s="1234" t="s">
        <v>69</v>
      </c>
      <c r="C173" s="1234"/>
      <c r="D173" s="1257" t="str">
        <f>VLOOKUP($A173,'Pre-Assessment Estimator'!$A$10:$Z$228,D$2,FALSE)</f>
        <v>LE 03</v>
      </c>
      <c r="E173" s="1258" t="str">
        <f>VLOOKUP($A173,'Pre-Assessment Estimator'!$A$10:$Z$228,E$2,FALSE)</f>
        <v>Pre-requisite: ecological risks and opportunities</v>
      </c>
      <c r="F173" s="574" t="str">
        <f>VLOOKUP($A173,'Pre-Assessment Estimator'!$A$10:$Z$228,F$2,FALSE)</f>
        <v>Yes/No</v>
      </c>
      <c r="G173" s="580" t="str">
        <f>IF(VLOOKUP($A173,'Pre-Assessment Estimator'!$A$10:$Z$228,G$2,FALSE)=0,"",VLOOKUP($A173,'Pre-Assessment Estimator'!$A$10:$Z$228,G$2,FALSE))</f>
        <v/>
      </c>
      <c r="H173" s="1220" t="str">
        <f>VLOOKUP($A173,'Pre-Assessment Estimator'!$A$10:$Z$228,H$2,FALSE)</f>
        <v>No</v>
      </c>
      <c r="I173" s="576" t="str">
        <f>VLOOKUP($A173,'Pre-Assessment Estimator'!$A$10:$Z$228,I$2,FALSE)</f>
        <v>N/A</v>
      </c>
      <c r="J173" s="577" t="str">
        <f>IF(VLOOKUP($A173,'Pre-Assessment Estimator'!$A$10:$Z$228,J$2,FALSE)=0,"",VLOOKUP($A173,'Pre-Assessment Estimator'!$A$10:$Z$228,J$2,FALSE))</f>
        <v/>
      </c>
      <c r="K173" s="577" t="str">
        <f>IF(VLOOKUP($A173,'Pre-Assessment Estimator'!$A$10:$Z$228,K$2,FALSE)=0,"",VLOOKUP($A173,'Pre-Assessment Estimator'!$A$10:$Z$228,K$2,FALSE))</f>
        <v/>
      </c>
      <c r="L173" s="578" t="str">
        <f>IF(VLOOKUP($A173,'Pre-Assessment Estimator'!$A$10:$Z$228,L$2,FALSE)=0,"",VLOOKUP($A173,'Pre-Assessment Estimator'!$A$10:$Z$228,L$2,FALSE))</f>
        <v/>
      </c>
      <c r="M173" s="579"/>
      <c r="N173" s="580" t="str">
        <f>IF(VLOOKUP($A173,'Pre-Assessment Estimator'!$A$10:$Z$228,N$2,FALSE)=0,"",VLOOKUP($A173,'Pre-Assessment Estimator'!$A$10:$Z$228,N$2,FALSE))</f>
        <v/>
      </c>
      <c r="O173" s="575" t="str">
        <f>VLOOKUP($A173,'Pre-Assessment Estimator'!$A$10:$Z$228,O$2,FALSE)</f>
        <v>No</v>
      </c>
      <c r="P173" s="574" t="str">
        <f>VLOOKUP($A173,'Pre-Assessment Estimator'!$A$10:$Z$228,P$2,FALSE)</f>
        <v>N/A</v>
      </c>
      <c r="Q173" s="577" t="str">
        <f>IF(VLOOKUP($A173,'Pre-Assessment Estimator'!$A$10:$Z$228,Q$2,FALSE)=0,"",VLOOKUP($A173,'Pre-Assessment Estimator'!$A$10:$Z$228,Q$2,FALSE))</f>
        <v/>
      </c>
      <c r="R173" s="577" t="str">
        <f>IF(VLOOKUP($A173,'Pre-Assessment Estimator'!$A$10:$Z$228,R$2,FALSE)=0,"",VLOOKUP($A173,'Pre-Assessment Estimator'!$A$10:$Z$228,R$2,FALSE))</f>
        <v/>
      </c>
      <c r="S173" s="578" t="str">
        <f>IF(VLOOKUP($A173,'Pre-Assessment Estimator'!$A$10:$Z$228,S$2,FALSE)=0,"",VLOOKUP($A173,'Pre-Assessment Estimator'!$A$10:$Z$228,S$2,FALSE))</f>
        <v/>
      </c>
      <c r="T173" s="581"/>
      <c r="U173" s="580" t="str">
        <f>IF(VLOOKUP($A173,'Pre-Assessment Estimator'!$A$10:$Z$228,U$2,FALSE)=0,"",VLOOKUP($A173,'Pre-Assessment Estimator'!$A$10:$Z$228,U$2,FALSE))</f>
        <v/>
      </c>
      <c r="V173" s="575" t="str">
        <f>VLOOKUP($A173,'Pre-Assessment Estimator'!$A$10:$Z$228,V$2,FALSE)</f>
        <v>No</v>
      </c>
      <c r="W173" s="574" t="str">
        <f>VLOOKUP($A173,'Pre-Assessment Estimator'!$A$10:$Z$228,W$2,FALSE)</f>
        <v>N/A</v>
      </c>
      <c r="X173" s="577" t="str">
        <f>IF(VLOOKUP($A173,'Pre-Assessment Estimator'!$A$10:$Z$228,X$2,FALSE)=0,"",VLOOKUP($A173,'Pre-Assessment Estimator'!$A$10:$Z$228,X$2,FALSE))</f>
        <v/>
      </c>
      <c r="Y173" s="577" t="str">
        <f>IF(VLOOKUP($A173,'Pre-Assessment Estimator'!$A$10:$Z$228,Y$2,FALSE)=0,"",VLOOKUP($A173,'Pre-Assessment Estimator'!$A$10:$Z$228,Y$2,FALSE))</f>
        <v/>
      </c>
      <c r="Z173" s="370" t="str">
        <f>IF(VLOOKUP($A173,'Pre-Assessment Estimator'!$A$10:$Z$228,Z$2,FALSE)=0,"",VLOOKUP($A173,'Pre-Assessment Estimator'!$A$10:$Z$228,Z$2,FALSE))</f>
        <v/>
      </c>
      <c r="AA173" s="696">
        <v>161</v>
      </c>
      <c r="AB173" s="577"/>
      <c r="AF173" s="386">
        <f t="shared" si="3"/>
        <v>1</v>
      </c>
    </row>
    <row r="174" spans="1:32" x14ac:dyDescent="0.25">
      <c r="A174" s="823">
        <v>165</v>
      </c>
      <c r="B174" s="1234" t="s">
        <v>69</v>
      </c>
      <c r="C174" s="1234"/>
      <c r="D174" s="1257" t="str">
        <f>VLOOKUP($A174,'Pre-Assessment Estimator'!$A$10:$Z$228,D$2,FALSE)</f>
        <v>LE 03</v>
      </c>
      <c r="E174" s="1258" t="str">
        <f>VLOOKUP($A174,'Pre-Assessment Estimator'!$A$10:$Z$228,E$2,FALSE)</f>
        <v>Planning and measures on site</v>
      </c>
      <c r="F174" s="574">
        <f>VLOOKUP($A174,'Pre-Assessment Estimator'!$A$10:$Z$228,F$2,FALSE)</f>
        <v>1</v>
      </c>
      <c r="G174" s="580" t="str">
        <f>IF(VLOOKUP($A174,'Pre-Assessment Estimator'!$A$10:$Z$228,G$2,FALSE)=0,"",VLOOKUP($A174,'Pre-Assessment Estimator'!$A$10:$Z$228,G$2,FALSE))</f>
        <v/>
      </c>
      <c r="H174" s="1220">
        <f>VLOOKUP($A174,'Pre-Assessment Estimator'!$A$10:$Z$228,H$2,FALSE)</f>
        <v>0</v>
      </c>
      <c r="I174" s="576" t="str">
        <f>VLOOKUP($A174,'Pre-Assessment Estimator'!$A$10:$Z$228,I$2,FALSE)</f>
        <v>N/A</v>
      </c>
      <c r="J174" s="577" t="str">
        <f>IF(VLOOKUP($A174,'Pre-Assessment Estimator'!$A$10:$Z$228,J$2,FALSE)=0,"",VLOOKUP($A174,'Pre-Assessment Estimator'!$A$10:$Z$228,J$2,FALSE))</f>
        <v/>
      </c>
      <c r="K174" s="577" t="str">
        <f>IF(VLOOKUP($A174,'Pre-Assessment Estimator'!$A$10:$Z$228,K$2,FALSE)=0,"",VLOOKUP($A174,'Pre-Assessment Estimator'!$A$10:$Z$228,K$2,FALSE))</f>
        <v/>
      </c>
      <c r="L174" s="578" t="str">
        <f>IF(VLOOKUP($A174,'Pre-Assessment Estimator'!$A$10:$Z$228,L$2,FALSE)=0,"",VLOOKUP($A174,'Pre-Assessment Estimator'!$A$10:$Z$228,L$2,FALSE))</f>
        <v/>
      </c>
      <c r="M174" s="579"/>
      <c r="N174" s="580" t="str">
        <f>IF(VLOOKUP($A174,'Pre-Assessment Estimator'!$A$10:$Z$228,N$2,FALSE)=0,"",VLOOKUP($A174,'Pre-Assessment Estimator'!$A$10:$Z$228,N$2,FALSE))</f>
        <v/>
      </c>
      <c r="O174" s="575">
        <f>VLOOKUP($A174,'Pre-Assessment Estimator'!$A$10:$Z$228,O$2,FALSE)</f>
        <v>0</v>
      </c>
      <c r="P174" s="574" t="str">
        <f>VLOOKUP($A174,'Pre-Assessment Estimator'!$A$10:$Z$228,P$2,FALSE)</f>
        <v>N/A</v>
      </c>
      <c r="Q174" s="577" t="str">
        <f>IF(VLOOKUP($A174,'Pre-Assessment Estimator'!$A$10:$Z$228,Q$2,FALSE)=0,"",VLOOKUP($A174,'Pre-Assessment Estimator'!$A$10:$Z$228,Q$2,FALSE))</f>
        <v/>
      </c>
      <c r="R174" s="577" t="str">
        <f>IF(VLOOKUP($A174,'Pre-Assessment Estimator'!$A$10:$Z$228,R$2,FALSE)=0,"",VLOOKUP($A174,'Pre-Assessment Estimator'!$A$10:$Z$228,R$2,FALSE))</f>
        <v/>
      </c>
      <c r="S174" s="578" t="str">
        <f>IF(VLOOKUP($A174,'Pre-Assessment Estimator'!$A$10:$Z$228,S$2,FALSE)=0,"",VLOOKUP($A174,'Pre-Assessment Estimator'!$A$10:$Z$228,S$2,FALSE))</f>
        <v/>
      </c>
      <c r="T174" s="581"/>
      <c r="U174" s="580" t="str">
        <f>IF(VLOOKUP($A174,'Pre-Assessment Estimator'!$A$10:$Z$228,U$2,FALSE)=0,"",VLOOKUP($A174,'Pre-Assessment Estimator'!$A$10:$Z$228,U$2,FALSE))</f>
        <v/>
      </c>
      <c r="V174" s="575">
        <f>VLOOKUP($A174,'Pre-Assessment Estimator'!$A$10:$Z$228,V$2,FALSE)</f>
        <v>0</v>
      </c>
      <c r="W174" s="574" t="str">
        <f>VLOOKUP($A174,'Pre-Assessment Estimator'!$A$10:$Z$228,W$2,FALSE)</f>
        <v>N/A</v>
      </c>
      <c r="X174" s="577" t="str">
        <f>IF(VLOOKUP($A174,'Pre-Assessment Estimator'!$A$10:$Z$228,X$2,FALSE)=0,"",VLOOKUP($A174,'Pre-Assessment Estimator'!$A$10:$Z$228,X$2,FALSE))</f>
        <v/>
      </c>
      <c r="Y174" s="577" t="str">
        <f>IF(VLOOKUP($A174,'Pre-Assessment Estimator'!$A$10:$Z$228,Y$2,FALSE)=0,"",VLOOKUP($A174,'Pre-Assessment Estimator'!$A$10:$Z$228,Y$2,FALSE))</f>
        <v/>
      </c>
      <c r="Z174" s="370" t="str">
        <f>IF(VLOOKUP($A174,'Pre-Assessment Estimator'!$A$10:$Z$228,Z$2,FALSE)=0,"",VLOOKUP($A174,'Pre-Assessment Estimator'!$A$10:$Z$228,Z$2,FALSE))</f>
        <v/>
      </c>
      <c r="AA174" s="696">
        <v>161</v>
      </c>
      <c r="AB174" s="577"/>
      <c r="AF174" s="386">
        <f t="shared" ref="AF174" si="4">IF(F174="",1,IF(F174=0,2,1))</f>
        <v>1</v>
      </c>
    </row>
    <row r="175" spans="1:32" x14ac:dyDescent="0.25">
      <c r="A175" s="823">
        <v>166</v>
      </c>
      <c r="B175" s="1234" t="s">
        <v>69</v>
      </c>
      <c r="C175" s="1234"/>
      <c r="D175" s="1257" t="str">
        <f>VLOOKUP($A175,'Pre-Assessment Estimator'!$A$10:$Z$228,D$2,FALSE)</f>
        <v>LE 03</v>
      </c>
      <c r="E175" s="1258" t="str">
        <f>VLOOKUP($A175,'Pre-Assessment Estimator'!$A$10:$Z$228,E$2,FALSE)</f>
        <v>Managing negative impacts</v>
      </c>
      <c r="F175" s="574">
        <f>VLOOKUP($A175,'Pre-Assessment Estimator'!$A$10:$Z$228,F$2,FALSE)</f>
        <v>2</v>
      </c>
      <c r="G175" s="580" t="str">
        <f>IF(VLOOKUP($A175,'Pre-Assessment Estimator'!$A$10:$Z$228,G$2,FALSE)=0,"",VLOOKUP($A175,'Pre-Assessment Estimator'!$A$10:$Z$228,G$2,FALSE))</f>
        <v/>
      </c>
      <c r="H175" s="1220">
        <f>VLOOKUP($A175,'Pre-Assessment Estimator'!$A$10:$Z$228,H$2,FALSE)</f>
        <v>0</v>
      </c>
      <c r="I175" s="576" t="str">
        <f>VLOOKUP($A175,'Pre-Assessment Estimator'!$A$10:$Z$228,I$2,FALSE)</f>
        <v>N/A</v>
      </c>
      <c r="J175" s="577" t="str">
        <f>IF(VLOOKUP($A175,'Pre-Assessment Estimator'!$A$10:$Z$228,J$2,FALSE)=0,"",VLOOKUP($A175,'Pre-Assessment Estimator'!$A$10:$Z$228,J$2,FALSE))</f>
        <v/>
      </c>
      <c r="K175" s="577" t="str">
        <f>IF(VLOOKUP($A175,'Pre-Assessment Estimator'!$A$10:$Z$228,K$2,FALSE)=0,"",VLOOKUP($A175,'Pre-Assessment Estimator'!$A$10:$Z$228,K$2,FALSE))</f>
        <v/>
      </c>
      <c r="L175" s="578" t="str">
        <f>IF(VLOOKUP($A175,'Pre-Assessment Estimator'!$A$10:$Z$228,L$2,FALSE)=0,"",VLOOKUP($A175,'Pre-Assessment Estimator'!$A$10:$Z$228,L$2,FALSE))</f>
        <v/>
      </c>
      <c r="M175" s="579"/>
      <c r="N175" s="580" t="str">
        <f>IF(VLOOKUP($A175,'Pre-Assessment Estimator'!$A$10:$Z$228,N$2,FALSE)=0,"",VLOOKUP($A175,'Pre-Assessment Estimator'!$A$10:$Z$228,N$2,FALSE))</f>
        <v/>
      </c>
      <c r="O175" s="575">
        <f>VLOOKUP($A175,'Pre-Assessment Estimator'!$A$10:$Z$228,O$2,FALSE)</f>
        <v>0</v>
      </c>
      <c r="P175" s="574" t="str">
        <f>VLOOKUP($A175,'Pre-Assessment Estimator'!$A$10:$Z$228,P$2,FALSE)</f>
        <v>N/A</v>
      </c>
      <c r="Q175" s="577" t="str">
        <f>IF(VLOOKUP($A175,'Pre-Assessment Estimator'!$A$10:$Z$228,Q$2,FALSE)=0,"",VLOOKUP($A175,'Pre-Assessment Estimator'!$A$10:$Z$228,Q$2,FALSE))</f>
        <v/>
      </c>
      <c r="R175" s="577" t="str">
        <f>IF(VLOOKUP($A175,'Pre-Assessment Estimator'!$A$10:$Z$228,R$2,FALSE)=0,"",VLOOKUP($A175,'Pre-Assessment Estimator'!$A$10:$Z$228,R$2,FALSE))</f>
        <v/>
      </c>
      <c r="S175" s="578" t="str">
        <f>IF(VLOOKUP($A175,'Pre-Assessment Estimator'!$A$10:$Z$228,S$2,FALSE)=0,"",VLOOKUP($A175,'Pre-Assessment Estimator'!$A$10:$Z$228,S$2,FALSE))</f>
        <v/>
      </c>
      <c r="T175" s="581"/>
      <c r="U175" s="580" t="str">
        <f>IF(VLOOKUP($A175,'Pre-Assessment Estimator'!$A$10:$Z$228,U$2,FALSE)=0,"",VLOOKUP($A175,'Pre-Assessment Estimator'!$A$10:$Z$228,U$2,FALSE))</f>
        <v/>
      </c>
      <c r="V175" s="575">
        <f>VLOOKUP($A175,'Pre-Assessment Estimator'!$A$10:$Z$228,V$2,FALSE)</f>
        <v>0</v>
      </c>
      <c r="W175" s="574" t="str">
        <f>VLOOKUP($A175,'Pre-Assessment Estimator'!$A$10:$Z$228,W$2,FALSE)</f>
        <v>N/A</v>
      </c>
      <c r="X175" s="577" t="str">
        <f>IF(VLOOKUP($A175,'Pre-Assessment Estimator'!$A$10:$Z$228,X$2,FALSE)=0,"",VLOOKUP($A175,'Pre-Assessment Estimator'!$A$10:$Z$228,X$2,FALSE))</f>
        <v/>
      </c>
      <c r="Y175" s="577" t="str">
        <f>IF(VLOOKUP($A175,'Pre-Assessment Estimator'!$A$10:$Z$228,Y$2,FALSE)=0,"",VLOOKUP($A175,'Pre-Assessment Estimator'!$A$10:$Z$228,Y$2,FALSE))</f>
        <v/>
      </c>
      <c r="Z175" s="370" t="str">
        <f>IF(VLOOKUP($A175,'Pre-Assessment Estimator'!$A$10:$Z$228,Z$2,FALSE)=0,"",VLOOKUP($A175,'Pre-Assessment Estimator'!$A$10:$Z$228,Z$2,FALSE))</f>
        <v/>
      </c>
      <c r="AA175" s="696">
        <v>162</v>
      </c>
      <c r="AB175" s="577"/>
      <c r="AF175" s="386">
        <f t="shared" si="3"/>
        <v>1</v>
      </c>
    </row>
    <row r="176" spans="1:32" x14ac:dyDescent="0.25">
      <c r="A176" s="823">
        <v>167</v>
      </c>
      <c r="B176" s="1234" t="s">
        <v>69</v>
      </c>
      <c r="C176" s="1234"/>
      <c r="D176" s="1256" t="str">
        <f>VLOOKUP($A176,'Pre-Assessment Estimator'!$A$10:$Z$228,D$2,FALSE)</f>
        <v>LE 04</v>
      </c>
      <c r="E176" s="1256" t="str">
        <f>VLOOKUP($A176,'Pre-Assessment Estimator'!$A$10:$Z$228,E$2,FALSE)</f>
        <v>LE 04 Ecological change and enhancement</v>
      </c>
      <c r="F176" s="574">
        <f>VLOOKUP($A176,'Pre-Assessment Estimator'!$A$10:$Z$228,F$2,FALSE)</f>
        <v>4</v>
      </c>
      <c r="G176" s="580" t="str">
        <f>IF(VLOOKUP($A176,'Pre-Assessment Estimator'!$A$10:$Z$228,G$2,FALSE)=0,"",VLOOKUP($A176,'Pre-Assessment Estimator'!$A$10:$Z$228,G$2,FALSE))</f>
        <v/>
      </c>
      <c r="H176" s="1220" t="str">
        <f>VLOOKUP($A176,'Pre-Assessment Estimator'!$A$10:$Z$228,H$2,FALSE)</f>
        <v>0 c. 0 %</v>
      </c>
      <c r="I176" s="576" t="str">
        <f>VLOOKUP($A176,'Pre-Assessment Estimator'!$A$10:$Z$228,I$2,FALSE)</f>
        <v>N/A</v>
      </c>
      <c r="J176" s="577" t="str">
        <f>IF(VLOOKUP($A176,'Pre-Assessment Estimator'!$A$10:$Z$228,J$2,FALSE)=0,"",VLOOKUP($A176,'Pre-Assessment Estimator'!$A$10:$Z$228,J$2,FALSE))</f>
        <v/>
      </c>
      <c r="K176" s="577" t="str">
        <f>IF(VLOOKUP($A176,'Pre-Assessment Estimator'!$A$10:$Z$228,K$2,FALSE)=0,"",VLOOKUP($A176,'Pre-Assessment Estimator'!$A$10:$Z$228,K$2,FALSE))</f>
        <v/>
      </c>
      <c r="L176" s="578" t="str">
        <f>IF(VLOOKUP($A176,'Pre-Assessment Estimator'!$A$10:$Z$228,L$2,FALSE)=0,"",VLOOKUP($A176,'Pre-Assessment Estimator'!$A$10:$Z$228,L$2,FALSE))</f>
        <v/>
      </c>
      <c r="M176" s="579"/>
      <c r="N176" s="580" t="str">
        <f>IF(VLOOKUP($A176,'Pre-Assessment Estimator'!$A$10:$Z$228,N$2,FALSE)=0,"",VLOOKUP($A176,'Pre-Assessment Estimator'!$A$10:$Z$228,N$2,FALSE))</f>
        <v/>
      </c>
      <c r="O176" s="575" t="str">
        <f>VLOOKUP($A176,'Pre-Assessment Estimator'!$A$10:$Z$228,O$2,FALSE)</f>
        <v>0 c. 0 %</v>
      </c>
      <c r="P176" s="574" t="str">
        <f>VLOOKUP($A176,'Pre-Assessment Estimator'!$A$10:$Z$228,P$2,FALSE)</f>
        <v>N/A</v>
      </c>
      <c r="Q176" s="577" t="str">
        <f>IF(VLOOKUP($A176,'Pre-Assessment Estimator'!$A$10:$Z$228,Q$2,FALSE)=0,"",VLOOKUP($A176,'Pre-Assessment Estimator'!$A$10:$Z$228,Q$2,FALSE))</f>
        <v/>
      </c>
      <c r="R176" s="577" t="str">
        <f>IF(VLOOKUP($A176,'Pre-Assessment Estimator'!$A$10:$Z$228,R$2,FALSE)=0,"",VLOOKUP($A176,'Pre-Assessment Estimator'!$A$10:$Z$228,R$2,FALSE))</f>
        <v/>
      </c>
      <c r="S176" s="578" t="str">
        <f>IF(VLOOKUP($A176,'Pre-Assessment Estimator'!$A$10:$Z$228,S$2,FALSE)=0,"",VLOOKUP($A176,'Pre-Assessment Estimator'!$A$10:$Z$228,S$2,FALSE))</f>
        <v/>
      </c>
      <c r="T176" s="581"/>
      <c r="U176" s="580" t="str">
        <f>IF(VLOOKUP($A176,'Pre-Assessment Estimator'!$A$10:$Z$228,U$2,FALSE)=0,"",VLOOKUP($A176,'Pre-Assessment Estimator'!$A$10:$Z$228,U$2,FALSE))</f>
        <v/>
      </c>
      <c r="V176" s="575" t="str">
        <f>VLOOKUP($A176,'Pre-Assessment Estimator'!$A$10:$Z$228,V$2,FALSE)</f>
        <v>0 c. 0 %</v>
      </c>
      <c r="W176" s="574" t="str">
        <f>VLOOKUP($A176,'Pre-Assessment Estimator'!$A$10:$Z$228,W$2,FALSE)</f>
        <v>N/A</v>
      </c>
      <c r="X176" s="577" t="str">
        <f>IF(VLOOKUP($A176,'Pre-Assessment Estimator'!$A$10:$Z$228,X$2,FALSE)=0,"",VLOOKUP($A176,'Pre-Assessment Estimator'!$A$10:$Z$228,X$2,FALSE))</f>
        <v/>
      </c>
      <c r="Y176" s="577" t="str">
        <f>IF(VLOOKUP($A176,'Pre-Assessment Estimator'!$A$10:$Z$228,Y$2,FALSE)=0,"",VLOOKUP($A176,'Pre-Assessment Estimator'!$A$10:$Z$228,Y$2,FALSE))</f>
        <v/>
      </c>
      <c r="Z176" s="370" t="str">
        <f>IF(VLOOKUP($A176,'Pre-Assessment Estimator'!$A$10:$Z$228,Z$2,FALSE)=0,"",VLOOKUP($A176,'Pre-Assessment Estimator'!$A$10:$Z$228,Z$2,FALSE))</f>
        <v/>
      </c>
      <c r="AA176" s="696">
        <v>163</v>
      </c>
      <c r="AB176" s="577"/>
      <c r="AF176" s="386">
        <f t="shared" si="3"/>
        <v>1</v>
      </c>
    </row>
    <row r="177" spans="1:32" x14ac:dyDescent="0.25">
      <c r="A177" s="823">
        <v>168</v>
      </c>
      <c r="B177" s="1234" t="s">
        <v>69</v>
      </c>
      <c r="C177" s="1234"/>
      <c r="D177" s="1257" t="str">
        <f>VLOOKUP($A177,'Pre-Assessment Estimator'!$A$10:$Z$228,D$2,FALSE)</f>
        <v>LE 04</v>
      </c>
      <c r="E177" s="1258" t="str">
        <f>VLOOKUP($A177,'Pre-Assessment Estimator'!$A$10:$Z$228,E$2,FALSE)</f>
        <v>Pre-requisite: managing negative impacts on ecology</v>
      </c>
      <c r="F177" s="574" t="str">
        <f>VLOOKUP($A177,'Pre-Assessment Estimator'!$A$10:$Z$228,F$2,FALSE)</f>
        <v>Yes/No</v>
      </c>
      <c r="G177" s="580" t="str">
        <f>IF(VLOOKUP($A177,'Pre-Assessment Estimator'!$A$10:$Z$228,G$2,FALSE)=0,"",VLOOKUP($A177,'Pre-Assessment Estimator'!$A$10:$Z$228,G$2,FALSE))</f>
        <v/>
      </c>
      <c r="H177" s="1220" t="str">
        <f>VLOOKUP($A177,'Pre-Assessment Estimator'!$A$10:$Z$228,H$2,FALSE)</f>
        <v>-</v>
      </c>
      <c r="I177" s="576" t="str">
        <f>VLOOKUP($A177,'Pre-Assessment Estimator'!$A$10:$Z$228,I$2,FALSE)</f>
        <v>N/A</v>
      </c>
      <c r="J177" s="577" t="str">
        <f>IF(VLOOKUP($A177,'Pre-Assessment Estimator'!$A$10:$Z$228,J$2,FALSE)=0,"",VLOOKUP($A177,'Pre-Assessment Estimator'!$A$10:$Z$228,J$2,FALSE))</f>
        <v/>
      </c>
      <c r="K177" s="577" t="str">
        <f>IF(VLOOKUP($A177,'Pre-Assessment Estimator'!$A$10:$Z$228,K$2,FALSE)=0,"",VLOOKUP($A177,'Pre-Assessment Estimator'!$A$10:$Z$228,K$2,FALSE))</f>
        <v/>
      </c>
      <c r="L177" s="578" t="str">
        <f>IF(VLOOKUP($A177,'Pre-Assessment Estimator'!$A$10:$Z$228,L$2,FALSE)=0,"",VLOOKUP($A177,'Pre-Assessment Estimator'!$A$10:$Z$228,L$2,FALSE))</f>
        <v/>
      </c>
      <c r="M177" s="579"/>
      <c r="N177" s="580" t="str">
        <f>IF(VLOOKUP($A177,'Pre-Assessment Estimator'!$A$10:$Z$228,N$2,FALSE)=0,"",VLOOKUP($A177,'Pre-Assessment Estimator'!$A$10:$Z$228,N$2,FALSE))</f>
        <v/>
      </c>
      <c r="O177" s="575" t="str">
        <f>VLOOKUP($A177,'Pre-Assessment Estimator'!$A$10:$Z$228,O$2,FALSE)</f>
        <v>-</v>
      </c>
      <c r="P177" s="574" t="str">
        <f>VLOOKUP($A177,'Pre-Assessment Estimator'!$A$10:$Z$228,P$2,FALSE)</f>
        <v>N/A</v>
      </c>
      <c r="Q177" s="577" t="str">
        <f>IF(VLOOKUP($A177,'Pre-Assessment Estimator'!$A$10:$Z$228,Q$2,FALSE)=0,"",VLOOKUP($A177,'Pre-Assessment Estimator'!$A$10:$Z$228,Q$2,FALSE))</f>
        <v/>
      </c>
      <c r="R177" s="577" t="str">
        <f>IF(VLOOKUP($A177,'Pre-Assessment Estimator'!$A$10:$Z$228,R$2,FALSE)=0,"",VLOOKUP($A177,'Pre-Assessment Estimator'!$A$10:$Z$228,R$2,FALSE))</f>
        <v/>
      </c>
      <c r="S177" s="578" t="str">
        <f>IF(VLOOKUP($A177,'Pre-Assessment Estimator'!$A$10:$Z$228,S$2,FALSE)=0,"",VLOOKUP($A177,'Pre-Assessment Estimator'!$A$10:$Z$228,S$2,FALSE))</f>
        <v/>
      </c>
      <c r="T177" s="581"/>
      <c r="U177" s="580" t="str">
        <f>IF(VLOOKUP($A177,'Pre-Assessment Estimator'!$A$10:$Z$228,U$2,FALSE)=0,"",VLOOKUP($A177,'Pre-Assessment Estimator'!$A$10:$Z$228,U$2,FALSE))</f>
        <v/>
      </c>
      <c r="V177" s="575" t="str">
        <f>VLOOKUP($A177,'Pre-Assessment Estimator'!$A$10:$Z$228,V$2,FALSE)</f>
        <v>-</v>
      </c>
      <c r="W177" s="574" t="str">
        <f>VLOOKUP($A177,'Pre-Assessment Estimator'!$A$10:$Z$228,W$2,FALSE)</f>
        <v>N/A</v>
      </c>
      <c r="X177" s="577" t="str">
        <f>IF(VLOOKUP($A177,'Pre-Assessment Estimator'!$A$10:$Z$228,X$2,FALSE)=0,"",VLOOKUP($A177,'Pre-Assessment Estimator'!$A$10:$Z$228,X$2,FALSE))</f>
        <v/>
      </c>
      <c r="Y177" s="577" t="str">
        <f>IF(VLOOKUP($A177,'Pre-Assessment Estimator'!$A$10:$Z$228,Y$2,FALSE)=0,"",VLOOKUP($A177,'Pre-Assessment Estimator'!$A$10:$Z$228,Y$2,FALSE))</f>
        <v/>
      </c>
      <c r="Z177" s="370" t="str">
        <f>IF(VLOOKUP($A177,'Pre-Assessment Estimator'!$A$10:$Z$228,Z$2,FALSE)=0,"",VLOOKUP($A177,'Pre-Assessment Estimator'!$A$10:$Z$228,Z$2,FALSE))</f>
        <v/>
      </c>
      <c r="AA177" s="696">
        <v>164</v>
      </c>
      <c r="AB177" s="577"/>
      <c r="AF177" s="386">
        <f t="shared" si="3"/>
        <v>1</v>
      </c>
    </row>
    <row r="178" spans="1:32" x14ac:dyDescent="0.25">
      <c r="A178" s="823">
        <v>169</v>
      </c>
      <c r="B178" s="1234" t="s">
        <v>69</v>
      </c>
      <c r="C178" s="1234"/>
      <c r="D178" s="1257" t="str">
        <f>VLOOKUP($A178,'Pre-Assessment Estimator'!$A$10:$Z$228,D$2,FALSE)</f>
        <v>LE 04</v>
      </c>
      <c r="E178" s="1258" t="str">
        <f>VLOOKUP($A178,'Pre-Assessment Estimator'!$A$10:$Z$228,E$2,FALSE)</f>
        <v>Ecological enhancement</v>
      </c>
      <c r="F178" s="574">
        <f>VLOOKUP($A178,'Pre-Assessment Estimator'!$A$10:$Z$228,F$2,FALSE)</f>
        <v>1</v>
      </c>
      <c r="G178" s="580" t="str">
        <f>IF(VLOOKUP($A178,'Pre-Assessment Estimator'!$A$10:$Z$228,G$2,FALSE)=0,"",VLOOKUP($A178,'Pre-Assessment Estimator'!$A$10:$Z$228,G$2,FALSE))</f>
        <v/>
      </c>
      <c r="H178" s="1220">
        <f>VLOOKUP($A178,'Pre-Assessment Estimator'!$A$10:$Z$228,H$2,FALSE)</f>
        <v>0</v>
      </c>
      <c r="I178" s="576" t="str">
        <f>VLOOKUP($A178,'Pre-Assessment Estimator'!$A$10:$Z$228,I$2,FALSE)</f>
        <v>Excellent</v>
      </c>
      <c r="J178" s="577" t="str">
        <f>IF(VLOOKUP($A178,'Pre-Assessment Estimator'!$A$10:$Z$228,J$2,FALSE)=0,"",VLOOKUP($A178,'Pre-Assessment Estimator'!$A$10:$Z$228,J$2,FALSE))</f>
        <v/>
      </c>
      <c r="K178" s="577" t="str">
        <f>IF(VLOOKUP($A178,'Pre-Assessment Estimator'!$A$10:$Z$228,K$2,FALSE)=0,"",VLOOKUP($A178,'Pre-Assessment Estimator'!$A$10:$Z$228,K$2,FALSE))</f>
        <v/>
      </c>
      <c r="L178" s="578" t="str">
        <f>IF(VLOOKUP($A178,'Pre-Assessment Estimator'!$A$10:$Z$228,L$2,FALSE)=0,"",VLOOKUP($A178,'Pre-Assessment Estimator'!$A$10:$Z$228,L$2,FALSE))</f>
        <v/>
      </c>
      <c r="M178" s="579"/>
      <c r="N178" s="580" t="str">
        <f>IF(VLOOKUP($A178,'Pre-Assessment Estimator'!$A$10:$Z$228,N$2,FALSE)=0,"",VLOOKUP($A178,'Pre-Assessment Estimator'!$A$10:$Z$228,N$2,FALSE))</f>
        <v/>
      </c>
      <c r="O178" s="575">
        <f>VLOOKUP($A178,'Pre-Assessment Estimator'!$A$10:$Z$228,O$2,FALSE)</f>
        <v>0</v>
      </c>
      <c r="P178" s="574" t="str">
        <f>VLOOKUP($A178,'Pre-Assessment Estimator'!$A$10:$Z$228,P$2,FALSE)</f>
        <v>Excellent</v>
      </c>
      <c r="Q178" s="577" t="str">
        <f>IF(VLOOKUP($A178,'Pre-Assessment Estimator'!$A$10:$Z$228,Q$2,FALSE)=0,"",VLOOKUP($A178,'Pre-Assessment Estimator'!$A$10:$Z$228,Q$2,FALSE))</f>
        <v/>
      </c>
      <c r="R178" s="577" t="str">
        <f>IF(VLOOKUP($A178,'Pre-Assessment Estimator'!$A$10:$Z$228,R$2,FALSE)=0,"",VLOOKUP($A178,'Pre-Assessment Estimator'!$A$10:$Z$228,R$2,FALSE))</f>
        <v/>
      </c>
      <c r="S178" s="578" t="str">
        <f>IF(VLOOKUP($A178,'Pre-Assessment Estimator'!$A$10:$Z$228,S$2,FALSE)=0,"",VLOOKUP($A178,'Pre-Assessment Estimator'!$A$10:$Z$228,S$2,FALSE))</f>
        <v/>
      </c>
      <c r="T178" s="581"/>
      <c r="U178" s="580" t="str">
        <f>IF(VLOOKUP($A178,'Pre-Assessment Estimator'!$A$10:$Z$228,U$2,FALSE)=0,"",VLOOKUP($A178,'Pre-Assessment Estimator'!$A$10:$Z$228,U$2,FALSE))</f>
        <v/>
      </c>
      <c r="V178" s="575">
        <f>VLOOKUP($A178,'Pre-Assessment Estimator'!$A$10:$Z$228,V$2,FALSE)</f>
        <v>0</v>
      </c>
      <c r="W178" s="574" t="str">
        <f>VLOOKUP($A178,'Pre-Assessment Estimator'!$A$10:$Z$228,W$2,FALSE)</f>
        <v>Excellent</v>
      </c>
      <c r="X178" s="577" t="str">
        <f>IF(VLOOKUP($A178,'Pre-Assessment Estimator'!$A$10:$Z$228,X$2,FALSE)=0,"",VLOOKUP($A178,'Pre-Assessment Estimator'!$A$10:$Z$228,X$2,FALSE))</f>
        <v/>
      </c>
      <c r="Y178" s="577" t="str">
        <f>IF(VLOOKUP($A178,'Pre-Assessment Estimator'!$A$10:$Z$228,Y$2,FALSE)=0,"",VLOOKUP($A178,'Pre-Assessment Estimator'!$A$10:$Z$228,Y$2,FALSE))</f>
        <v/>
      </c>
      <c r="Z178" s="370" t="str">
        <f>IF(VLOOKUP($A178,'Pre-Assessment Estimator'!$A$10:$Z$228,Z$2,FALSE)=0,"",VLOOKUP($A178,'Pre-Assessment Estimator'!$A$10:$Z$228,Z$2,FALSE))</f>
        <v/>
      </c>
      <c r="AA178" s="696">
        <v>165</v>
      </c>
      <c r="AB178" s="577"/>
      <c r="AF178" s="386">
        <f t="shared" si="3"/>
        <v>1</v>
      </c>
    </row>
    <row r="179" spans="1:32" x14ac:dyDescent="0.25">
      <c r="A179" s="823">
        <v>170</v>
      </c>
      <c r="B179" s="1234" t="s">
        <v>69</v>
      </c>
      <c r="C179" s="1234"/>
      <c r="D179" s="1257" t="str">
        <f>VLOOKUP($A179,'Pre-Assessment Estimator'!$A$10:$Z$228,D$2,FALSE)</f>
        <v>LE 04</v>
      </c>
      <c r="E179" s="1258" t="str">
        <f>VLOOKUP($A179,'Pre-Assessment Estimator'!$A$10:$Z$228,E$2,FALSE)</f>
        <v>Calculation of change in biodiversity</v>
      </c>
      <c r="F179" s="574">
        <f>VLOOKUP($A179,'Pre-Assessment Estimator'!$A$10:$Z$228,F$2,FALSE)</f>
        <v>3</v>
      </c>
      <c r="G179" s="580" t="str">
        <f>IF(VLOOKUP($A179,'Pre-Assessment Estimator'!$A$10:$Z$228,G$2,FALSE)=0,"",VLOOKUP($A179,'Pre-Assessment Estimator'!$A$10:$Z$228,G$2,FALSE))</f>
        <v/>
      </c>
      <c r="H179" s="1220">
        <f>VLOOKUP($A179,'Pre-Assessment Estimator'!$A$10:$Z$228,H$2,FALSE)</f>
        <v>0</v>
      </c>
      <c r="I179" s="576" t="str">
        <f>VLOOKUP($A179,'Pre-Assessment Estimator'!$A$10:$Z$228,I$2,FALSE)</f>
        <v>N/A</v>
      </c>
      <c r="J179" s="577" t="str">
        <f>IF(VLOOKUP($A179,'Pre-Assessment Estimator'!$A$10:$Z$228,J$2,FALSE)=0,"",VLOOKUP($A179,'Pre-Assessment Estimator'!$A$10:$Z$228,J$2,FALSE))</f>
        <v/>
      </c>
      <c r="K179" s="577" t="str">
        <f>IF(VLOOKUP($A179,'Pre-Assessment Estimator'!$A$10:$Z$228,K$2,FALSE)=0,"",VLOOKUP($A179,'Pre-Assessment Estimator'!$A$10:$Z$228,K$2,FALSE))</f>
        <v/>
      </c>
      <c r="L179" s="578" t="str">
        <f>IF(VLOOKUP($A179,'Pre-Assessment Estimator'!$A$10:$Z$228,L$2,FALSE)=0,"",VLOOKUP($A179,'Pre-Assessment Estimator'!$A$10:$Z$228,L$2,FALSE))</f>
        <v/>
      </c>
      <c r="M179" s="579"/>
      <c r="N179" s="580" t="str">
        <f>IF(VLOOKUP($A179,'Pre-Assessment Estimator'!$A$10:$Z$228,N$2,FALSE)=0,"",VLOOKUP($A179,'Pre-Assessment Estimator'!$A$10:$Z$228,N$2,FALSE))</f>
        <v/>
      </c>
      <c r="O179" s="575">
        <f>VLOOKUP($A179,'Pre-Assessment Estimator'!$A$10:$Z$228,O$2,FALSE)</f>
        <v>0</v>
      </c>
      <c r="P179" s="574" t="str">
        <f>VLOOKUP($A179,'Pre-Assessment Estimator'!$A$10:$Z$228,P$2,FALSE)</f>
        <v>N/A</v>
      </c>
      <c r="Q179" s="577" t="str">
        <f>IF(VLOOKUP($A179,'Pre-Assessment Estimator'!$A$10:$Z$228,Q$2,FALSE)=0,"",VLOOKUP($A179,'Pre-Assessment Estimator'!$A$10:$Z$228,Q$2,FALSE))</f>
        <v/>
      </c>
      <c r="R179" s="577" t="str">
        <f>IF(VLOOKUP($A179,'Pre-Assessment Estimator'!$A$10:$Z$228,R$2,FALSE)=0,"",VLOOKUP($A179,'Pre-Assessment Estimator'!$A$10:$Z$228,R$2,FALSE))</f>
        <v/>
      </c>
      <c r="S179" s="578" t="str">
        <f>IF(VLOOKUP($A179,'Pre-Assessment Estimator'!$A$10:$Z$228,S$2,FALSE)=0,"",VLOOKUP($A179,'Pre-Assessment Estimator'!$A$10:$Z$228,S$2,FALSE))</f>
        <v/>
      </c>
      <c r="T179" s="581"/>
      <c r="U179" s="580" t="str">
        <f>IF(VLOOKUP($A179,'Pre-Assessment Estimator'!$A$10:$Z$228,U$2,FALSE)=0,"",VLOOKUP($A179,'Pre-Assessment Estimator'!$A$10:$Z$228,U$2,FALSE))</f>
        <v/>
      </c>
      <c r="V179" s="575">
        <f>VLOOKUP($A179,'Pre-Assessment Estimator'!$A$10:$Z$228,V$2,FALSE)</f>
        <v>0</v>
      </c>
      <c r="W179" s="574" t="str">
        <f>VLOOKUP($A179,'Pre-Assessment Estimator'!$A$10:$Z$228,W$2,FALSE)</f>
        <v>N/A</v>
      </c>
      <c r="X179" s="577" t="str">
        <f>IF(VLOOKUP($A179,'Pre-Assessment Estimator'!$A$10:$Z$228,X$2,FALSE)=0,"",VLOOKUP($A179,'Pre-Assessment Estimator'!$A$10:$Z$228,X$2,FALSE))</f>
        <v/>
      </c>
      <c r="Y179" s="577" t="str">
        <f>IF(VLOOKUP($A179,'Pre-Assessment Estimator'!$A$10:$Z$228,Y$2,FALSE)=0,"",VLOOKUP($A179,'Pre-Assessment Estimator'!$A$10:$Z$228,Y$2,FALSE))</f>
        <v/>
      </c>
      <c r="Z179" s="370" t="str">
        <f>IF(VLOOKUP($A179,'Pre-Assessment Estimator'!$A$10:$Z$228,Z$2,FALSE)=0,"",VLOOKUP($A179,'Pre-Assessment Estimator'!$A$10:$Z$228,Z$2,FALSE))</f>
        <v/>
      </c>
      <c r="AA179" s="696">
        <v>166</v>
      </c>
      <c r="AB179" s="577" t="str">
        <f>IF(VLOOKUP($A179,'Pre-Assessment Estimator'!$A$10:$AB$228,AB$2,FALSE)=0,"",VLOOKUP($A179,'Pre-Assessment Estimator'!$A$10:$AB$228,AB$2,FALSE))</f>
        <v/>
      </c>
      <c r="AF179" s="386">
        <f t="shared" si="3"/>
        <v>1</v>
      </c>
    </row>
    <row r="180" spans="1:32" x14ac:dyDescent="0.25">
      <c r="A180" s="823">
        <v>171</v>
      </c>
      <c r="B180" s="1234" t="s">
        <v>69</v>
      </c>
      <c r="C180" s="1234"/>
      <c r="D180" s="1256" t="str">
        <f>VLOOKUP($A180,'Pre-Assessment Estimator'!$A$10:$Z$228,D$2,FALSE)</f>
        <v>LE 05</v>
      </c>
      <c r="E180" s="1256" t="str">
        <f>VLOOKUP($A180,'Pre-Assessment Estimator'!$A$10:$Z$228,E$2,FALSE)</f>
        <v>LE 05 Long term ecology management and maintenance</v>
      </c>
      <c r="F180" s="574">
        <f>VLOOKUP($A180,'Pre-Assessment Estimator'!$A$10:$Z$228,F$2,FALSE)</f>
        <v>2</v>
      </c>
      <c r="G180" s="580" t="str">
        <f>IF(VLOOKUP($A180,'Pre-Assessment Estimator'!$A$10:$Z$228,G$2,FALSE)=0,"",VLOOKUP($A180,'Pre-Assessment Estimator'!$A$10:$Z$228,G$2,FALSE))</f>
        <v/>
      </c>
      <c r="H180" s="1220" t="str">
        <f>VLOOKUP($A180,'Pre-Assessment Estimator'!$A$10:$Z$228,H$2,FALSE)</f>
        <v>0 c. 0 %</v>
      </c>
      <c r="I180" s="576" t="str">
        <f>VLOOKUP($A180,'Pre-Assessment Estimator'!$A$10:$Z$228,I$2,FALSE)</f>
        <v>N/A</v>
      </c>
      <c r="J180" s="577" t="str">
        <f>IF(VLOOKUP($A180,'Pre-Assessment Estimator'!$A$10:$Z$228,J$2,FALSE)=0,"",VLOOKUP($A180,'Pre-Assessment Estimator'!$A$10:$Z$228,J$2,FALSE))</f>
        <v/>
      </c>
      <c r="K180" s="577" t="str">
        <f>IF(VLOOKUP($A180,'Pre-Assessment Estimator'!$A$10:$Z$228,K$2,FALSE)=0,"",VLOOKUP($A180,'Pre-Assessment Estimator'!$A$10:$Z$228,K$2,FALSE))</f>
        <v/>
      </c>
      <c r="L180" s="578" t="str">
        <f>IF(VLOOKUP($A180,'Pre-Assessment Estimator'!$A$10:$Z$228,L$2,FALSE)=0,"",VLOOKUP($A180,'Pre-Assessment Estimator'!$A$10:$Z$228,L$2,FALSE))</f>
        <v/>
      </c>
      <c r="M180" s="579"/>
      <c r="N180" s="580" t="str">
        <f>IF(VLOOKUP($A180,'Pre-Assessment Estimator'!$A$10:$Z$228,N$2,FALSE)=0,"",VLOOKUP($A180,'Pre-Assessment Estimator'!$A$10:$Z$228,N$2,FALSE))</f>
        <v/>
      </c>
      <c r="O180" s="575" t="str">
        <f>VLOOKUP($A180,'Pre-Assessment Estimator'!$A$10:$Z$228,O$2,FALSE)</f>
        <v>0 c. 0 %</v>
      </c>
      <c r="P180" s="574" t="str">
        <f>VLOOKUP($A180,'Pre-Assessment Estimator'!$A$10:$Z$228,P$2,FALSE)</f>
        <v>N/A</v>
      </c>
      <c r="Q180" s="577" t="str">
        <f>IF(VLOOKUP($A180,'Pre-Assessment Estimator'!$A$10:$Z$228,Q$2,FALSE)=0,"",VLOOKUP($A180,'Pre-Assessment Estimator'!$A$10:$Z$228,Q$2,FALSE))</f>
        <v/>
      </c>
      <c r="R180" s="577" t="str">
        <f>IF(VLOOKUP($A180,'Pre-Assessment Estimator'!$A$10:$Z$228,R$2,FALSE)=0,"",VLOOKUP($A180,'Pre-Assessment Estimator'!$A$10:$Z$228,R$2,FALSE))</f>
        <v/>
      </c>
      <c r="S180" s="578" t="str">
        <f>IF(VLOOKUP($A180,'Pre-Assessment Estimator'!$A$10:$Z$228,S$2,FALSE)=0,"",VLOOKUP($A180,'Pre-Assessment Estimator'!$A$10:$Z$228,S$2,FALSE))</f>
        <v/>
      </c>
      <c r="T180" s="581"/>
      <c r="U180" s="580" t="str">
        <f>IF(VLOOKUP($A180,'Pre-Assessment Estimator'!$A$10:$Z$228,U$2,FALSE)=0,"",VLOOKUP($A180,'Pre-Assessment Estimator'!$A$10:$Z$228,U$2,FALSE))</f>
        <v/>
      </c>
      <c r="V180" s="575" t="str">
        <f>VLOOKUP($A180,'Pre-Assessment Estimator'!$A$10:$Z$228,V$2,FALSE)</f>
        <v>0 c. 0 %</v>
      </c>
      <c r="W180" s="574" t="str">
        <f>VLOOKUP($A180,'Pre-Assessment Estimator'!$A$10:$Z$228,W$2,FALSE)</f>
        <v>N/A</v>
      </c>
      <c r="X180" s="577" t="str">
        <f>IF(VLOOKUP($A180,'Pre-Assessment Estimator'!$A$10:$Z$228,X$2,FALSE)=0,"",VLOOKUP($A180,'Pre-Assessment Estimator'!$A$10:$Z$228,X$2,FALSE))</f>
        <v/>
      </c>
      <c r="Y180" s="577" t="str">
        <f>IF(VLOOKUP($A180,'Pre-Assessment Estimator'!$A$10:$Z$228,Y$2,FALSE)=0,"",VLOOKUP($A180,'Pre-Assessment Estimator'!$A$10:$Z$228,Y$2,FALSE))</f>
        <v/>
      </c>
      <c r="Z180" s="370" t="str">
        <f>IF(VLOOKUP($A180,'Pre-Assessment Estimator'!$A$10:$Z$228,Z$2,FALSE)=0,"",VLOOKUP($A180,'Pre-Assessment Estimator'!$A$10:$Z$228,Z$2,FALSE))</f>
        <v/>
      </c>
      <c r="AA180" s="696">
        <v>167</v>
      </c>
      <c r="AB180" s="577" t="str">
        <f>IF(VLOOKUP($A180,'Pre-Assessment Estimator'!$A$10:$AB$228,AB$2,FALSE)=0,"",VLOOKUP($A180,'Pre-Assessment Estimator'!$A$10:$AB$228,AB$2,FALSE))</f>
        <v/>
      </c>
      <c r="AF180" s="386">
        <f t="shared" si="3"/>
        <v>1</v>
      </c>
    </row>
    <row r="181" spans="1:32" ht="30" x14ac:dyDescent="0.25">
      <c r="A181" s="823">
        <v>172</v>
      </c>
      <c r="B181" s="1234" t="s">
        <v>69</v>
      </c>
      <c r="C181" s="1234"/>
      <c r="D181" s="1257" t="str">
        <f>VLOOKUP($A181,'Pre-Assessment Estimator'!$A$10:$Z$228,D$2,FALSE)</f>
        <v>LE 05</v>
      </c>
      <c r="E181" s="1258" t="str">
        <f>VLOOKUP($A181,'Pre-Assessment Estimator'!$A$10:$Z$228,E$2,FALSE)</f>
        <v>Pre-requisite: statutory obligations, planning and site implementation</v>
      </c>
      <c r="F181" s="574" t="str">
        <f>VLOOKUP($A181,'Pre-Assessment Estimator'!$A$10:$Z$228,F$2,FALSE)</f>
        <v>Yes/No</v>
      </c>
      <c r="G181" s="580" t="str">
        <f>IF(VLOOKUP($A181,'Pre-Assessment Estimator'!$A$10:$Z$228,G$2,FALSE)=0,"",VLOOKUP($A181,'Pre-Assessment Estimator'!$A$10:$Z$228,G$2,FALSE))</f>
        <v/>
      </c>
      <c r="H181" s="1220" t="str">
        <f>VLOOKUP($A181,'Pre-Assessment Estimator'!$A$10:$Z$228,H$2,FALSE)</f>
        <v>-</v>
      </c>
      <c r="I181" s="576" t="str">
        <f>VLOOKUP($A181,'Pre-Assessment Estimator'!$A$10:$Z$228,I$2,FALSE)</f>
        <v>N/A</v>
      </c>
      <c r="J181" s="577" t="str">
        <f>IF(VLOOKUP($A181,'Pre-Assessment Estimator'!$A$10:$Z$228,J$2,FALSE)=0,"",VLOOKUP($A181,'Pre-Assessment Estimator'!$A$10:$Z$228,J$2,FALSE))</f>
        <v/>
      </c>
      <c r="K181" s="577" t="str">
        <f>IF(VLOOKUP($A181,'Pre-Assessment Estimator'!$A$10:$Z$228,K$2,FALSE)=0,"",VLOOKUP($A181,'Pre-Assessment Estimator'!$A$10:$Z$228,K$2,FALSE))</f>
        <v/>
      </c>
      <c r="L181" s="578" t="str">
        <f>IF(VLOOKUP($A181,'Pre-Assessment Estimator'!$A$10:$Z$228,L$2,FALSE)=0,"",VLOOKUP($A181,'Pre-Assessment Estimator'!$A$10:$Z$228,L$2,FALSE))</f>
        <v/>
      </c>
      <c r="M181" s="579"/>
      <c r="N181" s="580" t="str">
        <f>IF(VLOOKUP($A181,'Pre-Assessment Estimator'!$A$10:$Z$228,N$2,FALSE)=0,"",VLOOKUP($A181,'Pre-Assessment Estimator'!$A$10:$Z$228,N$2,FALSE))</f>
        <v/>
      </c>
      <c r="O181" s="575" t="str">
        <f>VLOOKUP($A181,'Pre-Assessment Estimator'!$A$10:$Z$228,O$2,FALSE)</f>
        <v>-</v>
      </c>
      <c r="P181" s="574" t="str">
        <f>VLOOKUP($A181,'Pre-Assessment Estimator'!$A$10:$Z$228,P$2,FALSE)</f>
        <v>N/A</v>
      </c>
      <c r="Q181" s="577" t="str">
        <f>IF(VLOOKUP($A181,'Pre-Assessment Estimator'!$A$10:$Z$228,Q$2,FALSE)=0,"",VLOOKUP($A181,'Pre-Assessment Estimator'!$A$10:$Z$228,Q$2,FALSE))</f>
        <v/>
      </c>
      <c r="R181" s="577" t="str">
        <f>IF(VLOOKUP($A181,'Pre-Assessment Estimator'!$A$10:$Z$228,R$2,FALSE)=0,"",VLOOKUP($A181,'Pre-Assessment Estimator'!$A$10:$Z$228,R$2,FALSE))</f>
        <v/>
      </c>
      <c r="S181" s="578" t="str">
        <f>IF(VLOOKUP($A181,'Pre-Assessment Estimator'!$A$10:$Z$228,S$2,FALSE)=0,"",VLOOKUP($A181,'Pre-Assessment Estimator'!$A$10:$Z$228,S$2,FALSE))</f>
        <v/>
      </c>
      <c r="T181" s="581"/>
      <c r="U181" s="580" t="str">
        <f>IF(VLOOKUP($A181,'Pre-Assessment Estimator'!$A$10:$Z$228,U$2,FALSE)=0,"",VLOOKUP($A181,'Pre-Assessment Estimator'!$A$10:$Z$228,U$2,FALSE))</f>
        <v/>
      </c>
      <c r="V181" s="575" t="str">
        <f>VLOOKUP($A181,'Pre-Assessment Estimator'!$A$10:$Z$228,V$2,FALSE)</f>
        <v>-</v>
      </c>
      <c r="W181" s="574" t="str">
        <f>VLOOKUP($A181,'Pre-Assessment Estimator'!$A$10:$Z$228,W$2,FALSE)</f>
        <v>N/A</v>
      </c>
      <c r="X181" s="577" t="str">
        <f>IF(VLOOKUP($A181,'Pre-Assessment Estimator'!$A$10:$Z$228,X$2,FALSE)=0,"",VLOOKUP($A181,'Pre-Assessment Estimator'!$A$10:$Z$228,X$2,FALSE))</f>
        <v/>
      </c>
      <c r="Y181" s="577" t="str">
        <f>IF(VLOOKUP($A181,'Pre-Assessment Estimator'!$A$10:$Z$228,Y$2,FALSE)=0,"",VLOOKUP($A181,'Pre-Assessment Estimator'!$A$10:$Z$228,Y$2,FALSE))</f>
        <v/>
      </c>
      <c r="Z181" s="370" t="str">
        <f>IF(VLOOKUP($A181,'Pre-Assessment Estimator'!$A$10:$Z$228,Z$2,FALSE)=0,"",VLOOKUP($A181,'Pre-Assessment Estimator'!$A$10:$Z$228,Z$2,FALSE))</f>
        <v/>
      </c>
      <c r="AA181" s="696">
        <v>168</v>
      </c>
      <c r="AB181" s="577" t="str">
        <f>IF(VLOOKUP($A181,'Pre-Assessment Estimator'!$A$10:$AB$228,AB$2,FALSE)=0,"",VLOOKUP($A181,'Pre-Assessment Estimator'!$A$10:$AB$228,AB$2,FALSE))</f>
        <v/>
      </c>
      <c r="AF181" s="386">
        <f t="shared" si="3"/>
        <v>1</v>
      </c>
    </row>
    <row r="182" spans="1:32" x14ac:dyDescent="0.25">
      <c r="A182" s="823">
        <v>173</v>
      </c>
      <c r="B182" s="1234" t="s">
        <v>69</v>
      </c>
      <c r="C182" s="1234"/>
      <c r="D182" s="1257" t="str">
        <f>VLOOKUP($A182,'Pre-Assessment Estimator'!$A$10:$Z$228,D$2,FALSE)</f>
        <v>LE 05</v>
      </c>
      <c r="E182" s="1258" t="str">
        <f>VLOOKUP($A182,'Pre-Assessment Estimator'!$A$10:$Z$228,E$2,FALSE)</f>
        <v>Management and maintenance throughout the project</v>
      </c>
      <c r="F182" s="574">
        <f>VLOOKUP($A182,'Pre-Assessment Estimator'!$A$10:$Z$228,F$2,FALSE)</f>
        <v>1</v>
      </c>
      <c r="G182" s="580" t="str">
        <f>IF(VLOOKUP($A182,'Pre-Assessment Estimator'!$A$10:$Z$228,G$2,FALSE)=0,"",VLOOKUP($A182,'Pre-Assessment Estimator'!$A$10:$Z$228,G$2,FALSE))</f>
        <v/>
      </c>
      <c r="H182" s="1220">
        <f>VLOOKUP($A182,'Pre-Assessment Estimator'!$A$10:$Z$228,H$2,FALSE)</f>
        <v>0</v>
      </c>
      <c r="I182" s="576" t="str">
        <f>VLOOKUP($A182,'Pre-Assessment Estimator'!$A$10:$Z$228,I$2,FALSE)</f>
        <v>N/A</v>
      </c>
      <c r="J182" s="577" t="str">
        <f>IF(VLOOKUP($A182,'Pre-Assessment Estimator'!$A$10:$Z$228,J$2,FALSE)=0,"",VLOOKUP($A182,'Pre-Assessment Estimator'!$A$10:$Z$228,J$2,FALSE))</f>
        <v/>
      </c>
      <c r="K182" s="577" t="str">
        <f>IF(VLOOKUP($A182,'Pre-Assessment Estimator'!$A$10:$Z$228,K$2,FALSE)=0,"",VLOOKUP($A182,'Pre-Assessment Estimator'!$A$10:$Z$228,K$2,FALSE))</f>
        <v/>
      </c>
      <c r="L182" s="578" t="str">
        <f>IF(VLOOKUP($A182,'Pre-Assessment Estimator'!$A$10:$Z$228,L$2,FALSE)=0,"",VLOOKUP($A182,'Pre-Assessment Estimator'!$A$10:$Z$228,L$2,FALSE))</f>
        <v/>
      </c>
      <c r="M182" s="579"/>
      <c r="N182" s="580" t="str">
        <f>IF(VLOOKUP($A182,'Pre-Assessment Estimator'!$A$10:$Z$228,N$2,FALSE)=0,"",VLOOKUP($A182,'Pre-Assessment Estimator'!$A$10:$Z$228,N$2,FALSE))</f>
        <v/>
      </c>
      <c r="O182" s="575">
        <f>VLOOKUP($A182,'Pre-Assessment Estimator'!$A$10:$Z$228,O$2,FALSE)</f>
        <v>0</v>
      </c>
      <c r="P182" s="574" t="str">
        <f>VLOOKUP($A182,'Pre-Assessment Estimator'!$A$10:$Z$228,P$2,FALSE)</f>
        <v>N/A</v>
      </c>
      <c r="Q182" s="577" t="str">
        <f>IF(VLOOKUP($A182,'Pre-Assessment Estimator'!$A$10:$Z$228,Q$2,FALSE)=0,"",VLOOKUP($A182,'Pre-Assessment Estimator'!$A$10:$Z$228,Q$2,FALSE))</f>
        <v/>
      </c>
      <c r="R182" s="577" t="str">
        <f>IF(VLOOKUP($A182,'Pre-Assessment Estimator'!$A$10:$Z$228,R$2,FALSE)=0,"",VLOOKUP($A182,'Pre-Assessment Estimator'!$A$10:$Z$228,R$2,FALSE))</f>
        <v/>
      </c>
      <c r="S182" s="578" t="str">
        <f>IF(VLOOKUP($A182,'Pre-Assessment Estimator'!$A$10:$Z$228,S$2,FALSE)=0,"",VLOOKUP($A182,'Pre-Assessment Estimator'!$A$10:$Z$228,S$2,FALSE))</f>
        <v/>
      </c>
      <c r="T182" s="581"/>
      <c r="U182" s="580" t="str">
        <f>IF(VLOOKUP($A182,'Pre-Assessment Estimator'!$A$10:$Z$228,U$2,FALSE)=0,"",VLOOKUP($A182,'Pre-Assessment Estimator'!$A$10:$Z$228,U$2,FALSE))</f>
        <v/>
      </c>
      <c r="V182" s="575">
        <f>VLOOKUP($A182,'Pre-Assessment Estimator'!$A$10:$Z$228,V$2,FALSE)</f>
        <v>0</v>
      </c>
      <c r="W182" s="574" t="str">
        <f>VLOOKUP($A182,'Pre-Assessment Estimator'!$A$10:$Z$228,W$2,FALSE)</f>
        <v>N/A</v>
      </c>
      <c r="X182" s="577" t="str">
        <f>IF(VLOOKUP($A182,'Pre-Assessment Estimator'!$A$10:$Z$228,X$2,FALSE)=0,"",VLOOKUP($A182,'Pre-Assessment Estimator'!$A$10:$Z$228,X$2,FALSE))</f>
        <v/>
      </c>
      <c r="Y182" s="577" t="str">
        <f>IF(VLOOKUP($A182,'Pre-Assessment Estimator'!$A$10:$Z$228,Y$2,FALSE)=0,"",VLOOKUP($A182,'Pre-Assessment Estimator'!$A$10:$Z$228,Y$2,FALSE))</f>
        <v/>
      </c>
      <c r="Z182" s="370" t="str">
        <f>IF(VLOOKUP($A182,'Pre-Assessment Estimator'!$A$10:$Z$228,Z$2,FALSE)=0,"",VLOOKUP($A182,'Pre-Assessment Estimator'!$A$10:$Z$228,Z$2,FALSE))</f>
        <v/>
      </c>
      <c r="AA182" s="696">
        <v>169</v>
      </c>
      <c r="AB182" s="577"/>
      <c r="AF182" s="386">
        <f t="shared" si="3"/>
        <v>1</v>
      </c>
    </row>
    <row r="183" spans="1:32" x14ac:dyDescent="0.25">
      <c r="A183" s="823">
        <v>174</v>
      </c>
      <c r="B183" s="1234" t="s">
        <v>69</v>
      </c>
      <c r="C183" s="1234"/>
      <c r="D183" s="1257" t="str">
        <f>VLOOKUP($A183,'Pre-Assessment Estimator'!$A$10:$Z$228,D$2,FALSE)</f>
        <v>LE 05</v>
      </c>
      <c r="E183" s="1258" t="str">
        <f>VLOOKUP($A183,'Pre-Assessment Estimator'!$A$10:$Z$228,E$2,FALSE)</f>
        <v>Landscape and ecology management plan</v>
      </c>
      <c r="F183" s="574">
        <f>VLOOKUP($A183,'Pre-Assessment Estimator'!$A$10:$Z$228,F$2,FALSE)</f>
        <v>1</v>
      </c>
      <c r="G183" s="580" t="str">
        <f>IF(VLOOKUP($A183,'Pre-Assessment Estimator'!$A$10:$Z$228,G$2,FALSE)=0,"",VLOOKUP($A183,'Pre-Assessment Estimator'!$A$10:$Z$228,G$2,FALSE))</f>
        <v/>
      </c>
      <c r="H183" s="1220">
        <f>VLOOKUP($A183,'Pre-Assessment Estimator'!$A$10:$Z$228,H$2,FALSE)</f>
        <v>0</v>
      </c>
      <c r="I183" s="576" t="str">
        <f>VLOOKUP($A183,'Pre-Assessment Estimator'!$A$10:$Z$228,I$2,FALSE)</f>
        <v>N/A</v>
      </c>
      <c r="J183" s="577" t="str">
        <f>IF(VLOOKUP($A183,'Pre-Assessment Estimator'!$A$10:$Z$228,J$2,FALSE)=0,"",VLOOKUP($A183,'Pre-Assessment Estimator'!$A$10:$Z$228,J$2,FALSE))</f>
        <v/>
      </c>
      <c r="K183" s="577" t="str">
        <f>IF(VLOOKUP($A183,'Pre-Assessment Estimator'!$A$10:$Z$228,K$2,FALSE)=0,"",VLOOKUP($A183,'Pre-Assessment Estimator'!$A$10:$Z$228,K$2,FALSE))</f>
        <v/>
      </c>
      <c r="L183" s="578" t="str">
        <f>IF(VLOOKUP($A183,'Pre-Assessment Estimator'!$A$10:$Z$228,L$2,FALSE)=0,"",VLOOKUP($A183,'Pre-Assessment Estimator'!$A$10:$Z$228,L$2,FALSE))</f>
        <v/>
      </c>
      <c r="M183" s="579"/>
      <c r="N183" s="580" t="str">
        <f>IF(VLOOKUP($A183,'Pre-Assessment Estimator'!$A$10:$Z$228,N$2,FALSE)=0,"",VLOOKUP($A183,'Pre-Assessment Estimator'!$A$10:$Z$228,N$2,FALSE))</f>
        <v/>
      </c>
      <c r="O183" s="575">
        <f>VLOOKUP($A183,'Pre-Assessment Estimator'!$A$10:$Z$228,O$2,FALSE)</f>
        <v>0</v>
      </c>
      <c r="P183" s="574" t="str">
        <f>VLOOKUP($A183,'Pre-Assessment Estimator'!$A$10:$Z$228,P$2,FALSE)</f>
        <v>N/A</v>
      </c>
      <c r="Q183" s="577" t="str">
        <f>IF(VLOOKUP($A183,'Pre-Assessment Estimator'!$A$10:$Z$228,Q$2,FALSE)=0,"",VLOOKUP($A183,'Pre-Assessment Estimator'!$A$10:$Z$228,Q$2,FALSE))</f>
        <v/>
      </c>
      <c r="R183" s="577" t="str">
        <f>IF(VLOOKUP($A183,'Pre-Assessment Estimator'!$A$10:$Z$228,R$2,FALSE)=0,"",VLOOKUP($A183,'Pre-Assessment Estimator'!$A$10:$Z$228,R$2,FALSE))</f>
        <v/>
      </c>
      <c r="S183" s="578" t="str">
        <f>IF(VLOOKUP($A183,'Pre-Assessment Estimator'!$A$10:$Z$228,S$2,FALSE)=0,"",VLOOKUP($A183,'Pre-Assessment Estimator'!$A$10:$Z$228,S$2,FALSE))</f>
        <v/>
      </c>
      <c r="T183" s="581"/>
      <c r="U183" s="580" t="str">
        <f>IF(VLOOKUP($A183,'Pre-Assessment Estimator'!$A$10:$Z$228,U$2,FALSE)=0,"",VLOOKUP($A183,'Pre-Assessment Estimator'!$A$10:$Z$228,U$2,FALSE))</f>
        <v/>
      </c>
      <c r="V183" s="575">
        <f>VLOOKUP($A183,'Pre-Assessment Estimator'!$A$10:$Z$228,V$2,FALSE)</f>
        <v>0</v>
      </c>
      <c r="W183" s="574" t="str">
        <f>VLOOKUP($A183,'Pre-Assessment Estimator'!$A$10:$Z$228,W$2,FALSE)</f>
        <v>N/A</v>
      </c>
      <c r="X183" s="577" t="str">
        <f>IF(VLOOKUP($A183,'Pre-Assessment Estimator'!$A$10:$Z$228,X$2,FALSE)=0,"",VLOOKUP($A183,'Pre-Assessment Estimator'!$A$10:$Z$228,X$2,FALSE))</f>
        <v/>
      </c>
      <c r="Y183" s="577" t="str">
        <f>IF(VLOOKUP($A183,'Pre-Assessment Estimator'!$A$10:$Z$228,Y$2,FALSE)=0,"",VLOOKUP($A183,'Pre-Assessment Estimator'!$A$10:$Z$228,Y$2,FALSE))</f>
        <v/>
      </c>
      <c r="Z183" s="370" t="str">
        <f>IF(VLOOKUP($A183,'Pre-Assessment Estimator'!$A$10:$Z$228,Z$2,FALSE)=0,"",VLOOKUP($A183,'Pre-Assessment Estimator'!$A$10:$Z$228,Z$2,FALSE))</f>
        <v/>
      </c>
      <c r="AA183" s="696">
        <v>170</v>
      </c>
      <c r="AB183" s="577"/>
      <c r="AF183" s="386">
        <f t="shared" si="3"/>
        <v>1</v>
      </c>
    </row>
    <row r="184" spans="1:32" x14ac:dyDescent="0.25">
      <c r="A184" s="823">
        <v>175</v>
      </c>
      <c r="B184" s="1234" t="s">
        <v>69</v>
      </c>
      <c r="C184" s="1234"/>
      <c r="D184" s="1256" t="str">
        <f>VLOOKUP($A184,'Pre-Assessment Estimator'!$A$10:$Z$228,D$2,FALSE)</f>
        <v>LE 06</v>
      </c>
      <c r="E184" s="1256" t="str">
        <f>VLOOKUP($A184,'Pre-Assessment Estimator'!$A$10:$Z$228,E$2,FALSE)</f>
        <v>LE 06 Climate adaption</v>
      </c>
      <c r="F184" s="574">
        <f>VLOOKUP($A184,'Pre-Assessment Estimator'!$A$10:$Z$228,F$2,FALSE)</f>
        <v>1</v>
      </c>
      <c r="G184" s="580" t="str">
        <f>IF(VLOOKUP($A184,'Pre-Assessment Estimator'!$A$10:$Z$228,G$2,FALSE)=0,"",VLOOKUP($A184,'Pre-Assessment Estimator'!$A$10:$Z$228,G$2,FALSE))</f>
        <v/>
      </c>
      <c r="H184" s="1220" t="str">
        <f>VLOOKUP($A184,'Pre-Assessment Estimator'!$A$10:$Z$228,H$2,FALSE)</f>
        <v>0 c. 0 %</v>
      </c>
      <c r="I184" s="576" t="str">
        <f>VLOOKUP($A184,'Pre-Assessment Estimator'!$A$10:$Z$228,I$2,FALSE)</f>
        <v>N/A</v>
      </c>
      <c r="J184" s="577" t="str">
        <f>IF(VLOOKUP($A184,'Pre-Assessment Estimator'!$A$10:$Z$228,J$2,FALSE)=0,"",VLOOKUP($A184,'Pre-Assessment Estimator'!$A$10:$Z$228,J$2,FALSE))</f>
        <v/>
      </c>
      <c r="K184" s="577" t="str">
        <f>IF(VLOOKUP($A184,'Pre-Assessment Estimator'!$A$10:$Z$228,K$2,FALSE)=0,"",VLOOKUP($A184,'Pre-Assessment Estimator'!$A$10:$Z$228,K$2,FALSE))</f>
        <v/>
      </c>
      <c r="L184" s="578" t="str">
        <f>IF(VLOOKUP($A184,'Pre-Assessment Estimator'!$A$10:$Z$228,L$2,FALSE)=0,"",VLOOKUP($A184,'Pre-Assessment Estimator'!$A$10:$Z$228,L$2,FALSE))</f>
        <v/>
      </c>
      <c r="M184" s="579"/>
      <c r="N184" s="580" t="str">
        <f>IF(VLOOKUP($A184,'Pre-Assessment Estimator'!$A$10:$Z$228,N$2,FALSE)=0,"",VLOOKUP($A184,'Pre-Assessment Estimator'!$A$10:$Z$228,N$2,FALSE))</f>
        <v/>
      </c>
      <c r="O184" s="575" t="str">
        <f>VLOOKUP($A184,'Pre-Assessment Estimator'!$A$10:$Z$228,O$2,FALSE)</f>
        <v>0 c. 0 %</v>
      </c>
      <c r="P184" s="574" t="str">
        <f>VLOOKUP($A184,'Pre-Assessment Estimator'!$A$10:$Z$228,P$2,FALSE)</f>
        <v>N/A</v>
      </c>
      <c r="Q184" s="577" t="str">
        <f>IF(VLOOKUP($A184,'Pre-Assessment Estimator'!$A$10:$Z$228,Q$2,FALSE)=0,"",VLOOKUP($A184,'Pre-Assessment Estimator'!$A$10:$Z$228,Q$2,FALSE))</f>
        <v/>
      </c>
      <c r="R184" s="577" t="str">
        <f>IF(VLOOKUP($A184,'Pre-Assessment Estimator'!$A$10:$Z$228,R$2,FALSE)=0,"",VLOOKUP($A184,'Pre-Assessment Estimator'!$A$10:$Z$228,R$2,FALSE))</f>
        <v/>
      </c>
      <c r="S184" s="578" t="str">
        <f>IF(VLOOKUP($A184,'Pre-Assessment Estimator'!$A$10:$Z$228,S$2,FALSE)=0,"",VLOOKUP($A184,'Pre-Assessment Estimator'!$A$10:$Z$228,S$2,FALSE))</f>
        <v/>
      </c>
      <c r="T184" s="581"/>
      <c r="U184" s="580" t="str">
        <f>IF(VLOOKUP($A184,'Pre-Assessment Estimator'!$A$10:$Z$228,U$2,FALSE)=0,"",VLOOKUP($A184,'Pre-Assessment Estimator'!$A$10:$Z$228,U$2,FALSE))</f>
        <v/>
      </c>
      <c r="V184" s="575" t="str">
        <f>VLOOKUP($A184,'Pre-Assessment Estimator'!$A$10:$Z$228,V$2,FALSE)</f>
        <v>0 c. 0 %</v>
      </c>
      <c r="W184" s="574" t="str">
        <f>VLOOKUP($A184,'Pre-Assessment Estimator'!$A$10:$Z$228,W$2,FALSE)</f>
        <v>N/A</v>
      </c>
      <c r="X184" s="577" t="str">
        <f>IF(VLOOKUP($A184,'Pre-Assessment Estimator'!$A$10:$Z$228,X$2,FALSE)=0,"",VLOOKUP($A184,'Pre-Assessment Estimator'!$A$10:$Z$228,X$2,FALSE))</f>
        <v/>
      </c>
      <c r="Y184" s="577" t="str">
        <f>IF(VLOOKUP($A184,'Pre-Assessment Estimator'!$A$10:$Z$228,Y$2,FALSE)=0,"",VLOOKUP($A184,'Pre-Assessment Estimator'!$A$10:$Z$228,Y$2,FALSE))</f>
        <v/>
      </c>
      <c r="Z184" s="370" t="str">
        <f>IF(VLOOKUP($A184,'Pre-Assessment Estimator'!$A$10:$Z$228,Z$2,FALSE)=0,"",VLOOKUP($A184,'Pre-Assessment Estimator'!$A$10:$Z$228,Z$2,FALSE))</f>
        <v/>
      </c>
      <c r="AA184" s="696">
        <v>171</v>
      </c>
      <c r="AB184" s="577"/>
      <c r="AF184" s="386">
        <f t="shared" si="3"/>
        <v>1</v>
      </c>
    </row>
    <row r="185" spans="1:32" x14ac:dyDescent="0.25">
      <c r="A185" s="823">
        <v>176</v>
      </c>
      <c r="B185" s="1234" t="s">
        <v>69</v>
      </c>
      <c r="C185" s="1234"/>
      <c r="D185" s="1257" t="str">
        <f>VLOOKUP($A185,'Pre-Assessment Estimator'!$A$10:$Z$228,D$2,FALSE)</f>
        <v>LE 06</v>
      </c>
      <c r="E185" s="1258" t="str">
        <f>VLOOKUP($A185,'Pre-Assessment Estimator'!$A$10:$Z$228,E$2,FALSE)</f>
        <v>Risk assessment (EU taxonomy requirement: criterion 1-6)</v>
      </c>
      <c r="F185" s="574">
        <f>VLOOKUP($A185,'Pre-Assessment Estimator'!$A$10:$Z$228,F$2,FALSE)</f>
        <v>1</v>
      </c>
      <c r="G185" s="580" t="str">
        <f>IF(VLOOKUP($A185,'Pre-Assessment Estimator'!$A$10:$Z$228,G$2,FALSE)=0,"",VLOOKUP($A185,'Pre-Assessment Estimator'!$A$10:$Z$228,G$2,FALSE))</f>
        <v/>
      </c>
      <c r="H185" s="1220">
        <f>VLOOKUP($A185,'Pre-Assessment Estimator'!$A$10:$Z$228,H$2,FALSE)</f>
        <v>0</v>
      </c>
      <c r="I185" s="576" t="str">
        <f>VLOOKUP($A185,'Pre-Assessment Estimator'!$A$10:$Z$228,I$2,FALSE)</f>
        <v>Very Good</v>
      </c>
      <c r="J185" s="577" t="str">
        <f>IF(VLOOKUP($A185,'Pre-Assessment Estimator'!$A$10:$Z$228,J$2,FALSE)=0,"",VLOOKUP($A185,'Pre-Assessment Estimator'!$A$10:$Z$228,J$2,FALSE))</f>
        <v/>
      </c>
      <c r="K185" s="577" t="str">
        <f>IF(VLOOKUP($A185,'Pre-Assessment Estimator'!$A$10:$Z$228,K$2,FALSE)=0,"",VLOOKUP($A185,'Pre-Assessment Estimator'!$A$10:$Z$228,K$2,FALSE))</f>
        <v/>
      </c>
      <c r="L185" s="578" t="str">
        <f>IF(VLOOKUP($A185,'Pre-Assessment Estimator'!$A$10:$Z$228,L$2,FALSE)=0,"",VLOOKUP($A185,'Pre-Assessment Estimator'!$A$10:$Z$228,L$2,FALSE))</f>
        <v/>
      </c>
      <c r="M185" s="579"/>
      <c r="N185" s="580" t="str">
        <f>IF(VLOOKUP($A185,'Pre-Assessment Estimator'!$A$10:$Z$228,N$2,FALSE)=0,"",VLOOKUP($A185,'Pre-Assessment Estimator'!$A$10:$Z$228,N$2,FALSE))</f>
        <v/>
      </c>
      <c r="O185" s="575">
        <f>VLOOKUP($A185,'Pre-Assessment Estimator'!$A$10:$Z$228,O$2,FALSE)</f>
        <v>0</v>
      </c>
      <c r="P185" s="574" t="str">
        <f>VLOOKUP($A185,'Pre-Assessment Estimator'!$A$10:$Z$228,P$2,FALSE)</f>
        <v>Very Good</v>
      </c>
      <c r="Q185" s="577" t="str">
        <f>IF(VLOOKUP($A185,'Pre-Assessment Estimator'!$A$10:$Z$228,Q$2,FALSE)=0,"",VLOOKUP($A185,'Pre-Assessment Estimator'!$A$10:$Z$228,Q$2,FALSE))</f>
        <v/>
      </c>
      <c r="R185" s="577" t="str">
        <f>IF(VLOOKUP($A185,'Pre-Assessment Estimator'!$A$10:$Z$228,R$2,FALSE)=0,"",VLOOKUP($A185,'Pre-Assessment Estimator'!$A$10:$Z$228,R$2,FALSE))</f>
        <v/>
      </c>
      <c r="S185" s="578" t="str">
        <f>IF(VLOOKUP($A185,'Pre-Assessment Estimator'!$A$10:$Z$228,S$2,FALSE)=0,"",VLOOKUP($A185,'Pre-Assessment Estimator'!$A$10:$Z$228,S$2,FALSE))</f>
        <v/>
      </c>
      <c r="T185" s="581"/>
      <c r="U185" s="580" t="str">
        <f>IF(VLOOKUP($A185,'Pre-Assessment Estimator'!$A$10:$Z$228,U$2,FALSE)=0,"",VLOOKUP($A185,'Pre-Assessment Estimator'!$A$10:$Z$228,U$2,FALSE))</f>
        <v/>
      </c>
      <c r="V185" s="575">
        <f>VLOOKUP($A185,'Pre-Assessment Estimator'!$A$10:$Z$228,V$2,FALSE)</f>
        <v>0</v>
      </c>
      <c r="W185" s="574" t="str">
        <f>VLOOKUP($A185,'Pre-Assessment Estimator'!$A$10:$Z$228,W$2,FALSE)</f>
        <v>Very Good</v>
      </c>
      <c r="X185" s="577" t="str">
        <f>IF(VLOOKUP($A185,'Pre-Assessment Estimator'!$A$10:$Z$228,X$2,FALSE)=0,"",VLOOKUP($A185,'Pre-Assessment Estimator'!$A$10:$Z$228,X$2,FALSE))</f>
        <v/>
      </c>
      <c r="Y185" s="577" t="str">
        <f>IF(VLOOKUP($A185,'Pre-Assessment Estimator'!$A$10:$Z$228,Y$2,FALSE)=0,"",VLOOKUP($A185,'Pre-Assessment Estimator'!$A$10:$Z$228,Y$2,FALSE))</f>
        <v/>
      </c>
      <c r="Z185" s="370" t="str">
        <f>IF(VLOOKUP($A185,'Pre-Assessment Estimator'!$A$10:$Z$228,Z$2,FALSE)=0,"",VLOOKUP($A185,'Pre-Assessment Estimator'!$A$10:$Z$228,Z$2,FALSE))</f>
        <v/>
      </c>
      <c r="AA185" s="696">
        <v>172</v>
      </c>
      <c r="AB185" s="577"/>
      <c r="AF185" s="386">
        <f t="shared" si="3"/>
        <v>1</v>
      </c>
    </row>
    <row r="186" spans="1:32" x14ac:dyDescent="0.25">
      <c r="A186" s="823">
        <v>177</v>
      </c>
      <c r="B186" s="1234" t="s">
        <v>69</v>
      </c>
      <c r="C186" s="1234"/>
      <c r="D186" s="1256" t="str">
        <f>VLOOKUP($A186,'Pre-Assessment Estimator'!$A$10:$Z$228,D$2,FALSE)</f>
        <v>LE 07</v>
      </c>
      <c r="E186" s="1256" t="str">
        <f>VLOOKUP($A186,'Pre-Assessment Estimator'!$A$10:$Z$228,E$2,FALSE)</f>
        <v>LE 07 Flooding and storm surge</v>
      </c>
      <c r="F186" s="574">
        <f>VLOOKUP($A186,'Pre-Assessment Estimator'!$A$10:$Z$228,F$2,FALSE)</f>
        <v>2</v>
      </c>
      <c r="G186" s="580" t="str">
        <f>IF(VLOOKUP($A186,'Pre-Assessment Estimator'!$A$10:$Z$228,G$2,FALSE)=0,"",VLOOKUP($A186,'Pre-Assessment Estimator'!$A$10:$Z$228,G$2,FALSE))</f>
        <v/>
      </c>
      <c r="H186" s="1220" t="str">
        <f>VLOOKUP($A186,'Pre-Assessment Estimator'!$A$10:$Z$228,H$2,FALSE)</f>
        <v>0 c. 0 %</v>
      </c>
      <c r="I186" s="576" t="str">
        <f>VLOOKUP($A186,'Pre-Assessment Estimator'!$A$10:$Z$228,I$2,FALSE)</f>
        <v>N/A</v>
      </c>
      <c r="J186" s="577" t="str">
        <f>IF(VLOOKUP($A186,'Pre-Assessment Estimator'!$A$10:$Z$228,J$2,FALSE)=0,"",VLOOKUP($A186,'Pre-Assessment Estimator'!$A$10:$Z$228,J$2,FALSE))</f>
        <v/>
      </c>
      <c r="K186" s="577" t="str">
        <f>IF(VLOOKUP($A186,'Pre-Assessment Estimator'!$A$10:$Z$228,K$2,FALSE)=0,"",VLOOKUP($A186,'Pre-Assessment Estimator'!$A$10:$Z$228,K$2,FALSE))</f>
        <v/>
      </c>
      <c r="L186" s="578" t="str">
        <f>IF(VLOOKUP($A186,'Pre-Assessment Estimator'!$A$10:$Z$228,L$2,FALSE)=0,"",VLOOKUP($A186,'Pre-Assessment Estimator'!$A$10:$Z$228,L$2,FALSE))</f>
        <v/>
      </c>
      <c r="M186" s="579"/>
      <c r="N186" s="580" t="str">
        <f>IF(VLOOKUP($A186,'Pre-Assessment Estimator'!$A$10:$Z$228,N$2,FALSE)=0,"",VLOOKUP($A186,'Pre-Assessment Estimator'!$A$10:$Z$228,N$2,FALSE))</f>
        <v/>
      </c>
      <c r="O186" s="575" t="str">
        <f>VLOOKUP($A186,'Pre-Assessment Estimator'!$A$10:$Z$228,O$2,FALSE)</f>
        <v>0 c. 0 %</v>
      </c>
      <c r="P186" s="574" t="str">
        <f>VLOOKUP($A186,'Pre-Assessment Estimator'!$A$10:$Z$228,P$2,FALSE)</f>
        <v>N/A</v>
      </c>
      <c r="Q186" s="577" t="str">
        <f>IF(VLOOKUP($A186,'Pre-Assessment Estimator'!$A$10:$Z$228,Q$2,FALSE)=0,"",VLOOKUP($A186,'Pre-Assessment Estimator'!$A$10:$Z$228,Q$2,FALSE))</f>
        <v/>
      </c>
      <c r="R186" s="577" t="str">
        <f>IF(VLOOKUP($A186,'Pre-Assessment Estimator'!$A$10:$Z$228,R$2,FALSE)=0,"",VLOOKUP($A186,'Pre-Assessment Estimator'!$A$10:$Z$228,R$2,FALSE))</f>
        <v/>
      </c>
      <c r="S186" s="578" t="str">
        <f>IF(VLOOKUP($A186,'Pre-Assessment Estimator'!$A$10:$Z$228,S$2,FALSE)=0,"",VLOOKUP($A186,'Pre-Assessment Estimator'!$A$10:$Z$228,S$2,FALSE))</f>
        <v/>
      </c>
      <c r="T186" s="581"/>
      <c r="U186" s="580" t="str">
        <f>IF(VLOOKUP($A186,'Pre-Assessment Estimator'!$A$10:$Z$228,U$2,FALSE)=0,"",VLOOKUP($A186,'Pre-Assessment Estimator'!$A$10:$Z$228,U$2,FALSE))</f>
        <v/>
      </c>
      <c r="V186" s="575" t="str">
        <f>VLOOKUP($A186,'Pre-Assessment Estimator'!$A$10:$Z$228,V$2,FALSE)</f>
        <v>0 c. 0 %</v>
      </c>
      <c r="W186" s="574" t="str">
        <f>VLOOKUP($A186,'Pre-Assessment Estimator'!$A$10:$Z$228,W$2,FALSE)</f>
        <v>N/A</v>
      </c>
      <c r="X186" s="577" t="str">
        <f>IF(VLOOKUP($A186,'Pre-Assessment Estimator'!$A$10:$Z$228,X$2,FALSE)=0,"",VLOOKUP($A186,'Pre-Assessment Estimator'!$A$10:$Z$228,X$2,FALSE))</f>
        <v/>
      </c>
      <c r="Y186" s="577" t="str">
        <f>IF(VLOOKUP($A186,'Pre-Assessment Estimator'!$A$10:$Z$228,Y$2,FALSE)=0,"",VLOOKUP($A186,'Pre-Assessment Estimator'!$A$10:$Z$228,Y$2,FALSE))</f>
        <v/>
      </c>
      <c r="Z186" s="370" t="str">
        <f>IF(VLOOKUP($A186,'Pre-Assessment Estimator'!$A$10:$Z$228,Z$2,FALSE)=0,"",VLOOKUP($A186,'Pre-Assessment Estimator'!$A$10:$Z$228,Z$2,FALSE))</f>
        <v/>
      </c>
      <c r="AA186" s="696">
        <v>173</v>
      </c>
      <c r="AB186" s="577"/>
      <c r="AF186" s="386">
        <f t="shared" si="3"/>
        <v>1</v>
      </c>
    </row>
    <row r="187" spans="1:32" x14ac:dyDescent="0.25">
      <c r="A187" s="823">
        <v>178</v>
      </c>
      <c r="B187" s="1234" t="s">
        <v>69</v>
      </c>
      <c r="C187" s="1234"/>
      <c r="D187" s="1257" t="str">
        <f>VLOOKUP($A187,'Pre-Assessment Estimator'!$A$10:$Z$228,D$2,FALSE)</f>
        <v>LE 07</v>
      </c>
      <c r="E187" s="1258" t="str">
        <f>VLOOKUP($A187,'Pre-Assessment Estimator'!$A$10:$Z$228,E$2,FALSE)</f>
        <v>Pre-requisite: flood risk assessment</v>
      </c>
      <c r="F187" s="574" t="str">
        <f>VLOOKUP($A187,'Pre-Assessment Estimator'!$A$10:$Z$228,F$2,FALSE)</f>
        <v>Yes/No</v>
      </c>
      <c r="G187" s="580" t="str">
        <f>IF(VLOOKUP($A187,'Pre-Assessment Estimator'!$A$10:$Z$228,G$2,FALSE)=0,"",VLOOKUP($A187,'Pre-Assessment Estimator'!$A$10:$Z$228,G$2,FALSE))</f>
        <v/>
      </c>
      <c r="H187" s="1220" t="str">
        <f>VLOOKUP($A187,'Pre-Assessment Estimator'!$A$10:$Z$228,H$2,FALSE)</f>
        <v>-</v>
      </c>
      <c r="I187" s="576" t="str">
        <f>VLOOKUP($A187,'Pre-Assessment Estimator'!$A$10:$Z$228,I$2,FALSE)</f>
        <v>N/A</v>
      </c>
      <c r="J187" s="577" t="str">
        <f>IF(VLOOKUP($A187,'Pre-Assessment Estimator'!$A$10:$Z$228,J$2,FALSE)=0,"",VLOOKUP($A187,'Pre-Assessment Estimator'!$A$10:$Z$228,J$2,FALSE))</f>
        <v/>
      </c>
      <c r="K187" s="577" t="str">
        <f>IF(VLOOKUP($A187,'Pre-Assessment Estimator'!$A$10:$Z$228,K$2,FALSE)=0,"",VLOOKUP($A187,'Pre-Assessment Estimator'!$A$10:$Z$228,K$2,FALSE))</f>
        <v/>
      </c>
      <c r="L187" s="578" t="str">
        <f>IF(VLOOKUP($A187,'Pre-Assessment Estimator'!$A$10:$Z$228,L$2,FALSE)=0,"",VLOOKUP($A187,'Pre-Assessment Estimator'!$A$10:$Z$228,L$2,FALSE))</f>
        <v/>
      </c>
      <c r="M187" s="579"/>
      <c r="N187" s="580" t="str">
        <f>IF(VLOOKUP($A187,'Pre-Assessment Estimator'!$A$10:$Z$228,N$2,FALSE)=0,"",VLOOKUP($A187,'Pre-Assessment Estimator'!$A$10:$Z$228,N$2,FALSE))</f>
        <v/>
      </c>
      <c r="O187" s="575" t="str">
        <f>VLOOKUP($A187,'Pre-Assessment Estimator'!$A$10:$Z$228,O$2,FALSE)</f>
        <v>-</v>
      </c>
      <c r="P187" s="574" t="str">
        <f>VLOOKUP($A187,'Pre-Assessment Estimator'!$A$10:$Z$228,P$2,FALSE)</f>
        <v>N/A</v>
      </c>
      <c r="Q187" s="577" t="str">
        <f>IF(VLOOKUP($A187,'Pre-Assessment Estimator'!$A$10:$Z$228,Q$2,FALSE)=0,"",VLOOKUP($A187,'Pre-Assessment Estimator'!$A$10:$Z$228,Q$2,FALSE))</f>
        <v/>
      </c>
      <c r="R187" s="577" t="str">
        <f>IF(VLOOKUP($A187,'Pre-Assessment Estimator'!$A$10:$Z$228,R$2,FALSE)=0,"",VLOOKUP($A187,'Pre-Assessment Estimator'!$A$10:$Z$228,R$2,FALSE))</f>
        <v/>
      </c>
      <c r="S187" s="578" t="str">
        <f>IF(VLOOKUP($A187,'Pre-Assessment Estimator'!$A$10:$Z$228,S$2,FALSE)=0,"",VLOOKUP($A187,'Pre-Assessment Estimator'!$A$10:$Z$228,S$2,FALSE))</f>
        <v/>
      </c>
      <c r="T187" s="581"/>
      <c r="U187" s="580" t="str">
        <f>IF(VLOOKUP($A187,'Pre-Assessment Estimator'!$A$10:$Z$228,U$2,FALSE)=0,"",VLOOKUP($A187,'Pre-Assessment Estimator'!$A$10:$Z$228,U$2,FALSE))</f>
        <v/>
      </c>
      <c r="V187" s="575" t="str">
        <f>VLOOKUP($A187,'Pre-Assessment Estimator'!$A$10:$Z$228,V$2,FALSE)</f>
        <v>-</v>
      </c>
      <c r="W187" s="574" t="str">
        <f>VLOOKUP($A187,'Pre-Assessment Estimator'!$A$10:$Z$228,W$2,FALSE)</f>
        <v>N/A</v>
      </c>
      <c r="X187" s="577" t="str">
        <f>IF(VLOOKUP($A187,'Pre-Assessment Estimator'!$A$10:$Z$228,X$2,FALSE)=0,"",VLOOKUP($A187,'Pre-Assessment Estimator'!$A$10:$Z$228,X$2,FALSE))</f>
        <v/>
      </c>
      <c r="Y187" s="577" t="str">
        <f>IF(VLOOKUP($A187,'Pre-Assessment Estimator'!$A$10:$Z$228,Y$2,FALSE)=0,"",VLOOKUP($A187,'Pre-Assessment Estimator'!$A$10:$Z$228,Y$2,FALSE))</f>
        <v/>
      </c>
      <c r="Z187" s="370" t="str">
        <f>IF(VLOOKUP($A187,'Pre-Assessment Estimator'!$A$10:$Z$228,Z$2,FALSE)=0,"",VLOOKUP($A187,'Pre-Assessment Estimator'!$A$10:$Z$228,Z$2,FALSE))</f>
        <v/>
      </c>
      <c r="AA187" s="696">
        <v>174</v>
      </c>
      <c r="AB187" s="577"/>
      <c r="AF187" s="386">
        <f t="shared" si="3"/>
        <v>1</v>
      </c>
    </row>
    <row r="188" spans="1:32" x14ac:dyDescent="0.25">
      <c r="A188" s="823">
        <v>179</v>
      </c>
      <c r="B188" s="1234" t="s">
        <v>69</v>
      </c>
      <c r="C188" s="1234"/>
      <c r="D188" s="1257" t="str">
        <f>VLOOKUP($A188,'Pre-Assessment Estimator'!$A$10:$Z$228,D$2,FALSE)</f>
        <v>LE 07</v>
      </c>
      <c r="E188" s="1258" t="str">
        <f>VLOOKUP($A188,'Pre-Assessment Estimator'!$A$10:$Z$228,E$2,FALSE)</f>
        <v>Resilience against flood and storm surge</v>
      </c>
      <c r="F188" s="574">
        <f>VLOOKUP($A188,'Pre-Assessment Estimator'!$A$10:$Z$228,F$2,FALSE)</f>
        <v>2</v>
      </c>
      <c r="G188" s="580" t="str">
        <f>IF(VLOOKUP($A188,'Pre-Assessment Estimator'!$A$10:$Z$228,G$2,FALSE)=0,"",VLOOKUP($A188,'Pre-Assessment Estimator'!$A$10:$Z$228,G$2,FALSE))</f>
        <v/>
      </c>
      <c r="H188" s="1220">
        <f>VLOOKUP($A188,'Pre-Assessment Estimator'!$A$10:$Z$228,H$2,FALSE)</f>
        <v>0</v>
      </c>
      <c r="I188" s="576" t="str">
        <f>VLOOKUP($A188,'Pre-Assessment Estimator'!$A$10:$Z$228,I$2,FALSE)</f>
        <v>N/A</v>
      </c>
      <c r="J188" s="577" t="str">
        <f>IF(VLOOKUP($A188,'Pre-Assessment Estimator'!$A$10:$Z$228,J$2,FALSE)=0,"",VLOOKUP($A188,'Pre-Assessment Estimator'!$A$10:$Z$228,J$2,FALSE))</f>
        <v/>
      </c>
      <c r="K188" s="577" t="str">
        <f>IF(VLOOKUP($A188,'Pre-Assessment Estimator'!$A$10:$Z$228,K$2,FALSE)=0,"",VLOOKUP($A188,'Pre-Assessment Estimator'!$A$10:$Z$228,K$2,FALSE))</f>
        <v/>
      </c>
      <c r="L188" s="578" t="str">
        <f>IF(VLOOKUP($A188,'Pre-Assessment Estimator'!$A$10:$Z$228,L$2,FALSE)=0,"",VLOOKUP($A188,'Pre-Assessment Estimator'!$A$10:$Z$228,L$2,FALSE))</f>
        <v/>
      </c>
      <c r="M188" s="579"/>
      <c r="N188" s="580" t="str">
        <f>IF(VLOOKUP($A188,'Pre-Assessment Estimator'!$A$10:$Z$228,N$2,FALSE)=0,"",VLOOKUP($A188,'Pre-Assessment Estimator'!$A$10:$Z$228,N$2,FALSE))</f>
        <v/>
      </c>
      <c r="O188" s="575">
        <f>VLOOKUP($A188,'Pre-Assessment Estimator'!$A$10:$Z$228,O$2,FALSE)</f>
        <v>0</v>
      </c>
      <c r="P188" s="574" t="str">
        <f>VLOOKUP($A188,'Pre-Assessment Estimator'!$A$10:$Z$228,P$2,FALSE)</f>
        <v>N/A</v>
      </c>
      <c r="Q188" s="577" t="str">
        <f>IF(VLOOKUP($A188,'Pre-Assessment Estimator'!$A$10:$Z$228,Q$2,FALSE)=0,"",VLOOKUP($A188,'Pre-Assessment Estimator'!$A$10:$Z$228,Q$2,FALSE))</f>
        <v/>
      </c>
      <c r="R188" s="577" t="str">
        <f>IF(VLOOKUP($A188,'Pre-Assessment Estimator'!$A$10:$Z$228,R$2,FALSE)=0,"",VLOOKUP($A188,'Pre-Assessment Estimator'!$A$10:$Z$228,R$2,FALSE))</f>
        <v/>
      </c>
      <c r="S188" s="578" t="str">
        <f>IF(VLOOKUP($A188,'Pre-Assessment Estimator'!$A$10:$Z$228,S$2,FALSE)=0,"",VLOOKUP($A188,'Pre-Assessment Estimator'!$A$10:$Z$228,S$2,FALSE))</f>
        <v/>
      </c>
      <c r="T188" s="581"/>
      <c r="U188" s="580" t="str">
        <f>IF(VLOOKUP($A188,'Pre-Assessment Estimator'!$A$10:$Z$228,U$2,FALSE)=0,"",VLOOKUP($A188,'Pre-Assessment Estimator'!$A$10:$Z$228,U$2,FALSE))</f>
        <v/>
      </c>
      <c r="V188" s="575">
        <f>VLOOKUP($A188,'Pre-Assessment Estimator'!$A$10:$Z$228,V$2,FALSE)</f>
        <v>0</v>
      </c>
      <c r="W188" s="574" t="str">
        <f>VLOOKUP($A188,'Pre-Assessment Estimator'!$A$10:$Z$228,W$2,FALSE)</f>
        <v>N/A</v>
      </c>
      <c r="X188" s="577" t="str">
        <f>IF(VLOOKUP($A188,'Pre-Assessment Estimator'!$A$10:$Z$228,X$2,FALSE)=0,"",VLOOKUP($A188,'Pre-Assessment Estimator'!$A$10:$Z$228,X$2,FALSE))</f>
        <v/>
      </c>
      <c r="Y188" s="577" t="str">
        <f>IF(VLOOKUP($A188,'Pre-Assessment Estimator'!$A$10:$Z$228,Y$2,FALSE)=0,"",VLOOKUP($A188,'Pre-Assessment Estimator'!$A$10:$Z$228,Y$2,FALSE))</f>
        <v/>
      </c>
      <c r="Z188" s="370" t="str">
        <f>IF(VLOOKUP($A188,'Pre-Assessment Estimator'!$A$10:$Z$228,Z$2,FALSE)=0,"",VLOOKUP($A188,'Pre-Assessment Estimator'!$A$10:$Z$228,Z$2,FALSE))</f>
        <v/>
      </c>
      <c r="AA188" s="696">
        <v>175</v>
      </c>
      <c r="AB188" s="577"/>
      <c r="AF188" s="386">
        <f t="shared" si="3"/>
        <v>1</v>
      </c>
    </row>
    <row r="189" spans="1:32" x14ac:dyDescent="0.25">
      <c r="A189" s="823">
        <v>180</v>
      </c>
      <c r="B189" s="1234" t="s">
        <v>69</v>
      </c>
      <c r="C189" s="1234"/>
      <c r="D189" s="1256" t="str">
        <f>VLOOKUP($A189,'Pre-Assessment Estimator'!$A$10:$Z$228,D$2,FALSE)</f>
        <v>LE 08</v>
      </c>
      <c r="E189" s="1256" t="str">
        <f>VLOOKUP($A189,'Pre-Assessment Estimator'!$A$10:$Z$228,E$2,FALSE)</f>
        <v>LE 08 Local surface water handling</v>
      </c>
      <c r="F189" s="574">
        <f>VLOOKUP($A189,'Pre-Assessment Estimator'!$A$10:$Z$228,F$2,FALSE)</f>
        <v>3</v>
      </c>
      <c r="G189" s="580" t="str">
        <f>IF(VLOOKUP($A189,'Pre-Assessment Estimator'!$A$10:$Z$228,G$2,FALSE)=0,"",VLOOKUP($A189,'Pre-Assessment Estimator'!$A$10:$Z$228,G$2,FALSE))</f>
        <v/>
      </c>
      <c r="H189" s="1220" t="str">
        <f>VLOOKUP($A189,'Pre-Assessment Estimator'!$A$10:$Z$228,H$2,FALSE)</f>
        <v>0 c. 0 %</v>
      </c>
      <c r="I189" s="576" t="str">
        <f>VLOOKUP($A189,'Pre-Assessment Estimator'!$A$10:$Z$228,I$2,FALSE)</f>
        <v>N/A</v>
      </c>
      <c r="J189" s="577" t="str">
        <f>IF(VLOOKUP($A189,'Pre-Assessment Estimator'!$A$10:$Z$228,J$2,FALSE)=0,"",VLOOKUP($A189,'Pre-Assessment Estimator'!$A$10:$Z$228,J$2,FALSE))</f>
        <v/>
      </c>
      <c r="K189" s="577" t="str">
        <f>IF(VLOOKUP($A189,'Pre-Assessment Estimator'!$A$10:$Z$228,K$2,FALSE)=0,"",VLOOKUP($A189,'Pre-Assessment Estimator'!$A$10:$Z$228,K$2,FALSE))</f>
        <v/>
      </c>
      <c r="L189" s="578" t="str">
        <f>IF(VLOOKUP($A189,'Pre-Assessment Estimator'!$A$10:$Z$228,L$2,FALSE)=0,"",VLOOKUP($A189,'Pre-Assessment Estimator'!$A$10:$Z$228,L$2,FALSE))</f>
        <v/>
      </c>
      <c r="M189" s="579"/>
      <c r="N189" s="580" t="str">
        <f>IF(VLOOKUP($A189,'Pre-Assessment Estimator'!$A$10:$Z$228,N$2,FALSE)=0,"",VLOOKUP($A189,'Pre-Assessment Estimator'!$A$10:$Z$228,N$2,FALSE))</f>
        <v/>
      </c>
      <c r="O189" s="575" t="str">
        <f>VLOOKUP($A189,'Pre-Assessment Estimator'!$A$10:$Z$228,O$2,FALSE)</f>
        <v>0 c. 0 %</v>
      </c>
      <c r="P189" s="574" t="str">
        <f>VLOOKUP($A189,'Pre-Assessment Estimator'!$A$10:$Z$228,P$2,FALSE)</f>
        <v>N/A</v>
      </c>
      <c r="Q189" s="577" t="str">
        <f>IF(VLOOKUP($A189,'Pre-Assessment Estimator'!$A$10:$Z$228,Q$2,FALSE)=0,"",VLOOKUP($A189,'Pre-Assessment Estimator'!$A$10:$Z$228,Q$2,FALSE))</f>
        <v/>
      </c>
      <c r="R189" s="577" t="str">
        <f>IF(VLOOKUP($A189,'Pre-Assessment Estimator'!$A$10:$Z$228,R$2,FALSE)=0,"",VLOOKUP($A189,'Pre-Assessment Estimator'!$A$10:$Z$228,R$2,FALSE))</f>
        <v/>
      </c>
      <c r="S189" s="578" t="str">
        <f>IF(VLOOKUP($A189,'Pre-Assessment Estimator'!$A$10:$Z$228,S$2,FALSE)=0,"",VLOOKUP($A189,'Pre-Assessment Estimator'!$A$10:$Z$228,S$2,FALSE))</f>
        <v/>
      </c>
      <c r="T189" s="581"/>
      <c r="U189" s="580" t="str">
        <f>IF(VLOOKUP($A189,'Pre-Assessment Estimator'!$A$10:$Z$228,U$2,FALSE)=0,"",VLOOKUP($A189,'Pre-Assessment Estimator'!$A$10:$Z$228,U$2,FALSE))</f>
        <v/>
      </c>
      <c r="V189" s="575" t="str">
        <f>VLOOKUP($A189,'Pre-Assessment Estimator'!$A$10:$Z$228,V$2,FALSE)</f>
        <v>0 c. 0 %</v>
      </c>
      <c r="W189" s="574" t="str">
        <f>VLOOKUP($A189,'Pre-Assessment Estimator'!$A$10:$Z$228,W$2,FALSE)</f>
        <v>N/A</v>
      </c>
      <c r="X189" s="577" t="str">
        <f>IF(VLOOKUP($A189,'Pre-Assessment Estimator'!$A$10:$Z$228,X$2,FALSE)=0,"",VLOOKUP($A189,'Pre-Assessment Estimator'!$A$10:$Z$228,X$2,FALSE))</f>
        <v/>
      </c>
      <c r="Y189" s="577" t="str">
        <f>IF(VLOOKUP($A189,'Pre-Assessment Estimator'!$A$10:$Z$228,Y$2,FALSE)=0,"",VLOOKUP($A189,'Pre-Assessment Estimator'!$A$10:$Z$228,Y$2,FALSE))</f>
        <v/>
      </c>
      <c r="Z189" s="370" t="str">
        <f>IF(VLOOKUP($A189,'Pre-Assessment Estimator'!$A$10:$Z$228,Z$2,FALSE)=0,"",VLOOKUP($A189,'Pre-Assessment Estimator'!$A$10:$Z$228,Z$2,FALSE))</f>
        <v/>
      </c>
      <c r="AA189" s="696">
        <v>176</v>
      </c>
      <c r="AB189" s="577"/>
      <c r="AF189" s="386">
        <f t="shared" si="3"/>
        <v>1</v>
      </c>
    </row>
    <row r="190" spans="1:32" x14ac:dyDescent="0.25">
      <c r="A190" s="823">
        <v>181</v>
      </c>
      <c r="B190" s="1234" t="s">
        <v>69</v>
      </c>
      <c r="C190" s="1234"/>
      <c r="D190" s="1257" t="str">
        <f>VLOOKUP($A190,'Pre-Assessment Estimator'!$A$10:$Z$228,D$2,FALSE)</f>
        <v>LE 08</v>
      </c>
      <c r="E190" s="1258" t="str">
        <f>VLOOKUP($A190,'Pre-Assessment Estimator'!$A$10:$Z$228,E$2,FALSE)</f>
        <v>Pre-requisite: risk assessment and the "three- step strategy"</v>
      </c>
      <c r="F190" s="574" t="str">
        <f>VLOOKUP($A190,'Pre-Assessment Estimator'!$A$10:$Z$228,F$2,FALSE)</f>
        <v>Yes/No</v>
      </c>
      <c r="G190" s="580" t="str">
        <f>IF(VLOOKUP($A190,'Pre-Assessment Estimator'!$A$10:$Z$228,G$2,FALSE)=0,"",VLOOKUP($A190,'Pre-Assessment Estimator'!$A$10:$Z$228,G$2,FALSE))</f>
        <v/>
      </c>
      <c r="H190" s="1220" t="str">
        <f>VLOOKUP($A190,'Pre-Assessment Estimator'!$A$10:$Z$228,H$2,FALSE)</f>
        <v>-</v>
      </c>
      <c r="I190" s="576" t="str">
        <f>VLOOKUP($A190,'Pre-Assessment Estimator'!$A$10:$Z$228,I$2,FALSE)</f>
        <v>N/A</v>
      </c>
      <c r="J190" s="577" t="str">
        <f>IF(VLOOKUP($A190,'Pre-Assessment Estimator'!$A$10:$Z$228,J$2,FALSE)=0,"",VLOOKUP($A190,'Pre-Assessment Estimator'!$A$10:$Z$228,J$2,FALSE))</f>
        <v/>
      </c>
      <c r="K190" s="577" t="str">
        <f>IF(VLOOKUP($A190,'Pre-Assessment Estimator'!$A$10:$Z$228,K$2,FALSE)=0,"",VLOOKUP($A190,'Pre-Assessment Estimator'!$A$10:$Z$228,K$2,FALSE))</f>
        <v/>
      </c>
      <c r="L190" s="578" t="str">
        <f>IF(VLOOKUP($A190,'Pre-Assessment Estimator'!$A$10:$Z$228,L$2,FALSE)=0,"",VLOOKUP($A190,'Pre-Assessment Estimator'!$A$10:$Z$228,L$2,FALSE))</f>
        <v/>
      </c>
      <c r="M190" s="579"/>
      <c r="N190" s="580" t="str">
        <f>IF(VLOOKUP($A190,'Pre-Assessment Estimator'!$A$10:$Z$228,N$2,FALSE)=0,"",VLOOKUP($A190,'Pre-Assessment Estimator'!$A$10:$Z$228,N$2,FALSE))</f>
        <v/>
      </c>
      <c r="O190" s="575" t="str">
        <f>VLOOKUP($A190,'Pre-Assessment Estimator'!$A$10:$Z$228,O$2,FALSE)</f>
        <v>-</v>
      </c>
      <c r="P190" s="574" t="str">
        <f>VLOOKUP($A190,'Pre-Assessment Estimator'!$A$10:$Z$228,P$2,FALSE)</f>
        <v>N/A</v>
      </c>
      <c r="Q190" s="577" t="str">
        <f>IF(VLOOKUP($A190,'Pre-Assessment Estimator'!$A$10:$Z$228,Q$2,FALSE)=0,"",VLOOKUP($A190,'Pre-Assessment Estimator'!$A$10:$Z$228,Q$2,FALSE))</f>
        <v/>
      </c>
      <c r="R190" s="577" t="str">
        <f>IF(VLOOKUP($A190,'Pre-Assessment Estimator'!$A$10:$Z$228,R$2,FALSE)=0,"",VLOOKUP($A190,'Pre-Assessment Estimator'!$A$10:$Z$228,R$2,FALSE))</f>
        <v/>
      </c>
      <c r="S190" s="578" t="str">
        <f>IF(VLOOKUP($A190,'Pre-Assessment Estimator'!$A$10:$Z$228,S$2,FALSE)=0,"",VLOOKUP($A190,'Pre-Assessment Estimator'!$A$10:$Z$228,S$2,FALSE))</f>
        <v/>
      </c>
      <c r="T190" s="581"/>
      <c r="U190" s="580" t="str">
        <f>IF(VLOOKUP($A190,'Pre-Assessment Estimator'!$A$10:$Z$228,U$2,FALSE)=0,"",VLOOKUP($A190,'Pre-Assessment Estimator'!$A$10:$Z$228,U$2,FALSE))</f>
        <v/>
      </c>
      <c r="V190" s="575" t="str">
        <f>VLOOKUP($A190,'Pre-Assessment Estimator'!$A$10:$Z$228,V$2,FALSE)</f>
        <v>-</v>
      </c>
      <c r="W190" s="574" t="str">
        <f>VLOOKUP($A190,'Pre-Assessment Estimator'!$A$10:$Z$228,W$2,FALSE)</f>
        <v>N/A</v>
      </c>
      <c r="X190" s="577" t="str">
        <f>IF(VLOOKUP($A190,'Pre-Assessment Estimator'!$A$10:$Z$228,X$2,FALSE)=0,"",VLOOKUP($A190,'Pre-Assessment Estimator'!$A$10:$Z$228,X$2,FALSE))</f>
        <v/>
      </c>
      <c r="Y190" s="577" t="str">
        <f>IF(VLOOKUP($A190,'Pre-Assessment Estimator'!$A$10:$Z$228,Y$2,FALSE)=0,"",VLOOKUP($A190,'Pre-Assessment Estimator'!$A$10:$Z$228,Y$2,FALSE))</f>
        <v/>
      </c>
      <c r="Z190" s="370" t="str">
        <f>IF(VLOOKUP($A190,'Pre-Assessment Estimator'!$A$10:$Z$228,Z$2,FALSE)=0,"",VLOOKUP($A190,'Pre-Assessment Estimator'!$A$10:$Z$228,Z$2,FALSE))</f>
        <v/>
      </c>
      <c r="AA190" s="696">
        <v>177</v>
      </c>
      <c r="AB190" s="577"/>
      <c r="AF190" s="386">
        <f t="shared" si="3"/>
        <v>1</v>
      </c>
    </row>
    <row r="191" spans="1:32" x14ac:dyDescent="0.25">
      <c r="A191" s="823">
        <v>182</v>
      </c>
      <c r="B191" s="1234" t="s">
        <v>69</v>
      </c>
      <c r="C191" s="1234"/>
      <c r="D191" s="1257" t="str">
        <f>VLOOKUP($A191,'Pre-Assessment Estimator'!$A$10:$Z$228,D$2,FALSE)</f>
        <v>LE 08</v>
      </c>
      <c r="E191" s="1258" t="str">
        <f>VLOOKUP($A191,'Pre-Assessment Estimator'!$A$10:$Z$228,E$2,FALSE)</f>
        <v>5 mm precipitation</v>
      </c>
      <c r="F191" s="574">
        <f>VLOOKUP($A191,'Pre-Assessment Estimator'!$A$10:$Z$228,F$2,FALSE)</f>
        <v>1</v>
      </c>
      <c r="G191" s="580" t="str">
        <f>IF(VLOOKUP($A191,'Pre-Assessment Estimator'!$A$10:$Z$228,G$2,FALSE)=0,"",VLOOKUP($A191,'Pre-Assessment Estimator'!$A$10:$Z$228,G$2,FALSE))</f>
        <v/>
      </c>
      <c r="H191" s="1220">
        <f>VLOOKUP($A191,'Pre-Assessment Estimator'!$A$10:$Z$228,H$2,FALSE)</f>
        <v>0</v>
      </c>
      <c r="I191" s="576" t="str">
        <f>VLOOKUP($A191,'Pre-Assessment Estimator'!$A$10:$Z$228,I$2,FALSE)</f>
        <v>N/A</v>
      </c>
      <c r="J191" s="577" t="str">
        <f>IF(VLOOKUP($A191,'Pre-Assessment Estimator'!$A$10:$Z$228,J$2,FALSE)=0,"",VLOOKUP($A191,'Pre-Assessment Estimator'!$A$10:$Z$228,J$2,FALSE))</f>
        <v/>
      </c>
      <c r="K191" s="577" t="str">
        <f>IF(VLOOKUP($A191,'Pre-Assessment Estimator'!$A$10:$Z$228,K$2,FALSE)=0,"",VLOOKUP($A191,'Pre-Assessment Estimator'!$A$10:$Z$228,K$2,FALSE))</f>
        <v/>
      </c>
      <c r="L191" s="578" t="str">
        <f>IF(VLOOKUP($A191,'Pre-Assessment Estimator'!$A$10:$Z$228,L$2,FALSE)=0,"",VLOOKUP($A191,'Pre-Assessment Estimator'!$A$10:$Z$228,L$2,FALSE))</f>
        <v/>
      </c>
      <c r="M191" s="579"/>
      <c r="N191" s="580" t="str">
        <f>IF(VLOOKUP($A191,'Pre-Assessment Estimator'!$A$10:$Z$228,N$2,FALSE)=0,"",VLOOKUP($A191,'Pre-Assessment Estimator'!$A$10:$Z$228,N$2,FALSE))</f>
        <v/>
      </c>
      <c r="O191" s="575">
        <f>VLOOKUP($A191,'Pre-Assessment Estimator'!$A$10:$Z$228,O$2,FALSE)</f>
        <v>0</v>
      </c>
      <c r="P191" s="574" t="str">
        <f>VLOOKUP($A191,'Pre-Assessment Estimator'!$A$10:$Z$228,P$2,FALSE)</f>
        <v>N/A</v>
      </c>
      <c r="Q191" s="577" t="str">
        <f>IF(VLOOKUP($A191,'Pre-Assessment Estimator'!$A$10:$Z$228,Q$2,FALSE)=0,"",VLOOKUP($A191,'Pre-Assessment Estimator'!$A$10:$Z$228,Q$2,FALSE))</f>
        <v/>
      </c>
      <c r="R191" s="577" t="str">
        <f>IF(VLOOKUP($A191,'Pre-Assessment Estimator'!$A$10:$Z$228,R$2,FALSE)=0,"",VLOOKUP($A191,'Pre-Assessment Estimator'!$A$10:$Z$228,R$2,FALSE))</f>
        <v/>
      </c>
      <c r="S191" s="578" t="str">
        <f>IF(VLOOKUP($A191,'Pre-Assessment Estimator'!$A$10:$Z$228,S$2,FALSE)=0,"",VLOOKUP($A191,'Pre-Assessment Estimator'!$A$10:$Z$228,S$2,FALSE))</f>
        <v/>
      </c>
      <c r="T191" s="581"/>
      <c r="U191" s="580" t="str">
        <f>IF(VLOOKUP($A191,'Pre-Assessment Estimator'!$A$10:$Z$228,U$2,FALSE)=0,"",VLOOKUP($A191,'Pre-Assessment Estimator'!$A$10:$Z$228,U$2,FALSE))</f>
        <v/>
      </c>
      <c r="V191" s="575">
        <f>VLOOKUP($A191,'Pre-Assessment Estimator'!$A$10:$Z$228,V$2,FALSE)</f>
        <v>0</v>
      </c>
      <c r="W191" s="574" t="str">
        <f>VLOOKUP($A191,'Pre-Assessment Estimator'!$A$10:$Z$228,W$2,FALSE)</f>
        <v>N/A</v>
      </c>
      <c r="X191" s="577" t="str">
        <f>IF(VLOOKUP($A191,'Pre-Assessment Estimator'!$A$10:$Z$228,X$2,FALSE)=0,"",VLOOKUP($A191,'Pre-Assessment Estimator'!$A$10:$Z$228,X$2,FALSE))</f>
        <v/>
      </c>
      <c r="Y191" s="577" t="str">
        <f>IF(VLOOKUP($A191,'Pre-Assessment Estimator'!$A$10:$Z$228,Y$2,FALSE)=0,"",VLOOKUP($A191,'Pre-Assessment Estimator'!$A$10:$Z$228,Y$2,FALSE))</f>
        <v/>
      </c>
      <c r="Z191" s="370" t="str">
        <f>IF(VLOOKUP($A191,'Pre-Assessment Estimator'!$A$10:$Z$228,Z$2,FALSE)=0,"",VLOOKUP($A191,'Pre-Assessment Estimator'!$A$10:$Z$228,Z$2,FALSE))</f>
        <v/>
      </c>
      <c r="AA191" s="696">
        <v>178</v>
      </c>
      <c r="AB191" s="577" t="str">
        <f>IF(VLOOKUP($A191,'Pre-Assessment Estimator'!$A$10:$AB$228,AB$2,FALSE)=0,"",VLOOKUP($A191,'Pre-Assessment Estimator'!$A$10:$AB$228,AB$2,FALSE))</f>
        <v/>
      </c>
      <c r="AF191" s="386">
        <f t="shared" si="3"/>
        <v>1</v>
      </c>
    </row>
    <row r="192" spans="1:32" x14ac:dyDescent="0.25">
      <c r="A192" s="823">
        <v>183</v>
      </c>
      <c r="B192" s="1234" t="s">
        <v>69</v>
      </c>
      <c r="C192" s="1234"/>
      <c r="D192" s="1257" t="str">
        <f>VLOOKUP($A192,'Pre-Assessment Estimator'!$A$10:$Z$228,D$2,FALSE)</f>
        <v>LE 08</v>
      </c>
      <c r="E192" s="1258" t="str">
        <f>VLOOKUP($A192,'Pre-Assessment Estimator'!$A$10:$Z$228,E$2,FALSE)</f>
        <v>Maximum run-off</v>
      </c>
      <c r="F192" s="574">
        <f>VLOOKUP($A192,'Pre-Assessment Estimator'!$A$10:$Z$228,F$2,FALSE)</f>
        <v>1</v>
      </c>
      <c r="G192" s="580" t="str">
        <f>IF(VLOOKUP($A192,'Pre-Assessment Estimator'!$A$10:$Z$228,G$2,FALSE)=0,"",VLOOKUP($A192,'Pre-Assessment Estimator'!$A$10:$Z$228,G$2,FALSE))</f>
        <v/>
      </c>
      <c r="H192" s="1220">
        <f>VLOOKUP($A192,'Pre-Assessment Estimator'!$A$10:$Z$228,H$2,FALSE)</f>
        <v>0</v>
      </c>
      <c r="I192" s="576" t="str">
        <f>VLOOKUP($A192,'Pre-Assessment Estimator'!$A$10:$Z$228,I$2,FALSE)</f>
        <v>N/A</v>
      </c>
      <c r="J192" s="577" t="str">
        <f>IF(VLOOKUP($A192,'Pre-Assessment Estimator'!$A$10:$Z$228,J$2,FALSE)=0,"",VLOOKUP($A192,'Pre-Assessment Estimator'!$A$10:$Z$228,J$2,FALSE))</f>
        <v/>
      </c>
      <c r="K192" s="577" t="str">
        <f>IF(VLOOKUP($A192,'Pre-Assessment Estimator'!$A$10:$Z$228,K$2,FALSE)=0,"",VLOOKUP($A192,'Pre-Assessment Estimator'!$A$10:$Z$228,K$2,FALSE))</f>
        <v/>
      </c>
      <c r="L192" s="578" t="str">
        <f>IF(VLOOKUP($A192,'Pre-Assessment Estimator'!$A$10:$Z$228,L$2,FALSE)=0,"",VLOOKUP($A192,'Pre-Assessment Estimator'!$A$10:$Z$228,L$2,FALSE))</f>
        <v/>
      </c>
      <c r="M192" s="579"/>
      <c r="N192" s="580" t="str">
        <f>IF(VLOOKUP($A192,'Pre-Assessment Estimator'!$A$10:$Z$228,N$2,FALSE)=0,"",VLOOKUP($A192,'Pre-Assessment Estimator'!$A$10:$Z$228,N$2,FALSE))</f>
        <v/>
      </c>
      <c r="O192" s="575">
        <f>VLOOKUP($A192,'Pre-Assessment Estimator'!$A$10:$Z$228,O$2,FALSE)</f>
        <v>0</v>
      </c>
      <c r="P192" s="574" t="str">
        <f>VLOOKUP($A192,'Pre-Assessment Estimator'!$A$10:$Z$228,P$2,FALSE)</f>
        <v>N/A</v>
      </c>
      <c r="Q192" s="577" t="str">
        <f>IF(VLOOKUP($A192,'Pre-Assessment Estimator'!$A$10:$Z$228,Q$2,FALSE)=0,"",VLOOKUP($A192,'Pre-Assessment Estimator'!$A$10:$Z$228,Q$2,FALSE))</f>
        <v/>
      </c>
      <c r="R192" s="577" t="str">
        <f>IF(VLOOKUP($A192,'Pre-Assessment Estimator'!$A$10:$Z$228,R$2,FALSE)=0,"",VLOOKUP($A192,'Pre-Assessment Estimator'!$A$10:$Z$228,R$2,FALSE))</f>
        <v/>
      </c>
      <c r="S192" s="578" t="str">
        <f>IF(VLOOKUP($A192,'Pre-Assessment Estimator'!$A$10:$Z$228,S$2,FALSE)=0,"",VLOOKUP($A192,'Pre-Assessment Estimator'!$A$10:$Z$228,S$2,FALSE))</f>
        <v/>
      </c>
      <c r="T192" s="581"/>
      <c r="U192" s="580" t="str">
        <f>IF(VLOOKUP($A192,'Pre-Assessment Estimator'!$A$10:$Z$228,U$2,FALSE)=0,"",VLOOKUP($A192,'Pre-Assessment Estimator'!$A$10:$Z$228,U$2,FALSE))</f>
        <v/>
      </c>
      <c r="V192" s="575">
        <f>VLOOKUP($A192,'Pre-Assessment Estimator'!$A$10:$Z$228,V$2,FALSE)</f>
        <v>0</v>
      </c>
      <c r="W192" s="574" t="str">
        <f>VLOOKUP($A192,'Pre-Assessment Estimator'!$A$10:$Z$228,W$2,FALSE)</f>
        <v>N/A</v>
      </c>
      <c r="X192" s="577" t="str">
        <f>IF(VLOOKUP($A192,'Pre-Assessment Estimator'!$A$10:$Z$228,X$2,FALSE)=0,"",VLOOKUP($A192,'Pre-Assessment Estimator'!$A$10:$Z$228,X$2,FALSE))</f>
        <v/>
      </c>
      <c r="Y192" s="577" t="str">
        <f>IF(VLOOKUP($A192,'Pre-Assessment Estimator'!$A$10:$Z$228,Y$2,FALSE)=0,"",VLOOKUP($A192,'Pre-Assessment Estimator'!$A$10:$Z$228,Y$2,FALSE))</f>
        <v/>
      </c>
      <c r="Z192" s="370" t="str">
        <f>IF(VLOOKUP($A192,'Pre-Assessment Estimator'!$A$10:$Z$228,Z$2,FALSE)=0,"",VLOOKUP($A192,'Pre-Assessment Estimator'!$A$10:$Z$228,Z$2,FALSE))</f>
        <v/>
      </c>
      <c r="AA192" s="696">
        <v>179</v>
      </c>
      <c r="AB192" s="585" t="str">
        <f>IF(VLOOKUP($A192,'Pre-Assessment Estimator'!$A$10:$AB$228,AB$2,FALSE)=0,"",VLOOKUP($A192,'Pre-Assessment Estimator'!$A$10:$AB$228,AB$2,FALSE))</f>
        <v/>
      </c>
      <c r="AC192" s="389"/>
      <c r="AD192" s="389"/>
      <c r="AE192" s="389"/>
      <c r="AF192" s="386">
        <f t="shared" si="3"/>
        <v>1</v>
      </c>
    </row>
    <row r="193" spans="1:32" x14ac:dyDescent="0.25">
      <c r="A193" s="823">
        <v>184</v>
      </c>
      <c r="B193" s="1234" t="s">
        <v>70</v>
      </c>
      <c r="C193" s="1234"/>
      <c r="D193" s="1257" t="str">
        <f>VLOOKUP($A193,'Pre-Assessment Estimator'!$A$10:$Z$228,D$2,FALSE)</f>
        <v>LE 08</v>
      </c>
      <c r="E193" s="1258" t="str">
        <f>VLOOKUP($A193,'Pre-Assessment Estimator'!$A$10:$Z$228,E$2,FALSE)</f>
        <v>Measures for surface-based water management</v>
      </c>
      <c r="F193" s="574">
        <f>VLOOKUP($A193,'Pre-Assessment Estimator'!$A$10:$Z$228,F$2,FALSE)</f>
        <v>1</v>
      </c>
      <c r="G193" s="580" t="str">
        <f>IF(VLOOKUP($A193,'Pre-Assessment Estimator'!$A$10:$Z$228,G$2,FALSE)=0,"",VLOOKUP($A193,'Pre-Assessment Estimator'!$A$10:$Z$228,G$2,FALSE))</f>
        <v/>
      </c>
      <c r="H193" s="1220">
        <f>VLOOKUP($A193,'Pre-Assessment Estimator'!$A$10:$Z$228,H$2,FALSE)</f>
        <v>0</v>
      </c>
      <c r="I193" s="576" t="str">
        <f>VLOOKUP($A193,'Pre-Assessment Estimator'!$A$10:$Z$228,I$2,FALSE)</f>
        <v>N/A</v>
      </c>
      <c r="J193" s="577" t="str">
        <f>IF(VLOOKUP($A193,'Pre-Assessment Estimator'!$A$10:$Z$228,J$2,FALSE)=0,"",VLOOKUP($A193,'Pre-Assessment Estimator'!$A$10:$Z$228,J$2,FALSE))</f>
        <v/>
      </c>
      <c r="K193" s="577" t="str">
        <f>IF(VLOOKUP($A193,'Pre-Assessment Estimator'!$A$10:$Z$228,K$2,FALSE)=0,"",VLOOKUP($A193,'Pre-Assessment Estimator'!$A$10:$Z$228,K$2,FALSE))</f>
        <v/>
      </c>
      <c r="L193" s="578" t="str">
        <f>IF(VLOOKUP($A193,'Pre-Assessment Estimator'!$A$10:$Z$228,L$2,FALSE)=0,"",VLOOKUP($A193,'Pre-Assessment Estimator'!$A$10:$Z$228,L$2,FALSE))</f>
        <v/>
      </c>
      <c r="M193" s="579"/>
      <c r="N193" s="580" t="str">
        <f>IF(VLOOKUP($A193,'Pre-Assessment Estimator'!$A$10:$Z$228,N$2,FALSE)=0,"",VLOOKUP($A193,'Pre-Assessment Estimator'!$A$10:$Z$228,N$2,FALSE))</f>
        <v/>
      </c>
      <c r="O193" s="575">
        <f>VLOOKUP($A193,'Pre-Assessment Estimator'!$A$10:$Z$228,O$2,FALSE)</f>
        <v>0</v>
      </c>
      <c r="P193" s="574" t="str">
        <f>VLOOKUP($A193,'Pre-Assessment Estimator'!$A$10:$Z$228,P$2,FALSE)</f>
        <v>N/A</v>
      </c>
      <c r="Q193" s="577" t="str">
        <f>IF(VLOOKUP($A193,'Pre-Assessment Estimator'!$A$10:$Z$228,Q$2,FALSE)=0,"",VLOOKUP($A193,'Pre-Assessment Estimator'!$A$10:$Z$228,Q$2,FALSE))</f>
        <v/>
      </c>
      <c r="R193" s="577" t="str">
        <f>IF(VLOOKUP($A193,'Pre-Assessment Estimator'!$A$10:$Z$228,R$2,FALSE)=0,"",VLOOKUP($A193,'Pre-Assessment Estimator'!$A$10:$Z$228,R$2,FALSE))</f>
        <v/>
      </c>
      <c r="S193" s="578" t="str">
        <f>IF(VLOOKUP($A193,'Pre-Assessment Estimator'!$A$10:$Z$228,S$2,FALSE)=0,"",VLOOKUP($A193,'Pre-Assessment Estimator'!$A$10:$Z$228,S$2,FALSE))</f>
        <v/>
      </c>
      <c r="T193" s="581"/>
      <c r="U193" s="580" t="str">
        <f>IF(VLOOKUP($A193,'Pre-Assessment Estimator'!$A$10:$Z$228,U$2,FALSE)=0,"",VLOOKUP($A193,'Pre-Assessment Estimator'!$A$10:$Z$228,U$2,FALSE))</f>
        <v/>
      </c>
      <c r="V193" s="575">
        <f>VLOOKUP($A193,'Pre-Assessment Estimator'!$A$10:$Z$228,V$2,FALSE)</f>
        <v>0</v>
      </c>
      <c r="W193" s="574" t="str">
        <f>VLOOKUP($A193,'Pre-Assessment Estimator'!$A$10:$Z$228,W$2,FALSE)</f>
        <v>N/A</v>
      </c>
      <c r="X193" s="577" t="str">
        <f>IF(VLOOKUP($A193,'Pre-Assessment Estimator'!$A$10:$Z$228,X$2,FALSE)=0,"",VLOOKUP($A193,'Pre-Assessment Estimator'!$A$10:$Z$228,X$2,FALSE))</f>
        <v/>
      </c>
      <c r="Y193" s="577" t="str">
        <f>IF(VLOOKUP($A193,'Pre-Assessment Estimator'!$A$10:$Z$228,Y$2,FALSE)=0,"",VLOOKUP($A193,'Pre-Assessment Estimator'!$A$10:$Z$228,Y$2,FALSE))</f>
        <v/>
      </c>
      <c r="Z193" s="370" t="str">
        <f>IF(VLOOKUP($A193,'Pre-Assessment Estimator'!$A$10:$Z$228,Z$2,FALSE)=0,"",VLOOKUP($A193,'Pre-Assessment Estimator'!$A$10:$Z$228,Z$2,FALSE))</f>
        <v/>
      </c>
      <c r="AA193" s="696">
        <v>180</v>
      </c>
      <c r="AB193" s="697" t="str">
        <f>IF(VLOOKUP($A193,'Pre-Assessment Estimator'!$A$10:$AB$228,AB$2,FALSE)=0,"",VLOOKUP($A193,'Pre-Assessment Estimator'!$A$10:$AB$228,AB$2,FALSE))</f>
        <v/>
      </c>
      <c r="AF193" s="386">
        <f t="shared" si="3"/>
        <v>1</v>
      </c>
    </row>
    <row r="194" spans="1:32" ht="30" customHeight="1" thickBot="1" x14ac:dyDescent="0.3">
      <c r="A194" s="823">
        <v>185</v>
      </c>
      <c r="B194" s="1234" t="s">
        <v>70</v>
      </c>
      <c r="C194" s="1234"/>
      <c r="D194" s="1259"/>
      <c r="E194" s="1259" t="str">
        <f>VLOOKUP($A194,'Pre-Assessment Estimator'!$A$10:$Z$228,E$2,FALSE)</f>
        <v>Total performance land use and ecology</v>
      </c>
      <c r="F194" s="582">
        <f>VLOOKUP($A194,'Pre-Assessment Estimator'!$A$10:$Z$228,F$2,FALSE)</f>
        <v>19</v>
      </c>
      <c r="G194" s="584" t="str">
        <f>IF(VLOOKUP($A194,'Pre-Assessment Estimator'!$A$10:$Z$228,G$2,FALSE)=0,"",VLOOKUP($A194,'Pre-Assessment Estimator'!$A$10:$Z$228,G$2,FALSE))</f>
        <v/>
      </c>
      <c r="H194" s="583">
        <f>VLOOKUP($A194,'Pre-Assessment Estimator'!$A$10:$Z$228,H$2,FALSE)</f>
        <v>0</v>
      </c>
      <c r="I194" s="582" t="str">
        <f>VLOOKUP($A194,'Pre-Assessment Estimator'!$A$10:$Z$228,I$2,FALSE)</f>
        <v>Credits achieved: 0</v>
      </c>
      <c r="J194" s="1202" t="str">
        <f>IF(VLOOKUP($A194,'Pre-Assessment Estimator'!$A$10:$Z$228,J$2,FALSE)=0,"",VLOOKUP($A194,'Pre-Assessment Estimator'!$A$10:$Z$228,J$2,FALSE))</f>
        <v/>
      </c>
      <c r="K194" s="1202" t="str">
        <f>IF(VLOOKUP($A194,'Pre-Assessment Estimator'!$A$10:$Z$228,K$2,FALSE)=0,"",VLOOKUP($A194,'Pre-Assessment Estimator'!$A$10:$Z$228,K$2,FALSE))</f>
        <v/>
      </c>
      <c r="L194" s="1221" t="str">
        <f>IF(VLOOKUP($A194,'Pre-Assessment Estimator'!$A$10:$Z$228,L$2,FALSE)=0,"",VLOOKUP($A194,'Pre-Assessment Estimator'!$A$10:$Z$228,L$2,FALSE))</f>
        <v/>
      </c>
      <c r="M194" s="1222"/>
      <c r="N194" s="584" t="str">
        <f>IF(VLOOKUP($A194,'Pre-Assessment Estimator'!$A$10:$Z$228,N$2,FALSE)=0,"",VLOOKUP($A194,'Pre-Assessment Estimator'!$A$10:$Z$228,N$2,FALSE))</f>
        <v/>
      </c>
      <c r="O194" s="583">
        <f>VLOOKUP($A194,'Pre-Assessment Estimator'!$A$10:$Z$228,O$2,FALSE)</f>
        <v>0</v>
      </c>
      <c r="P194" s="582" t="str">
        <f>VLOOKUP($A194,'Pre-Assessment Estimator'!$A$10:$Z$228,P$2,FALSE)</f>
        <v>Credits achieved: 0</v>
      </c>
      <c r="Q194" s="1202" t="str">
        <f>IF(VLOOKUP($A194,'Pre-Assessment Estimator'!$A$10:$Z$228,Q$2,FALSE)=0,"",VLOOKUP($A194,'Pre-Assessment Estimator'!$A$10:$Z$228,Q$2,FALSE))</f>
        <v/>
      </c>
      <c r="R194" s="1202" t="str">
        <f>IF(VLOOKUP($A194,'Pre-Assessment Estimator'!$A$10:$Z$228,R$2,FALSE)=0,"",VLOOKUP($A194,'Pre-Assessment Estimator'!$A$10:$Z$228,R$2,FALSE))</f>
        <v/>
      </c>
      <c r="S194" s="1221" t="str">
        <f>IF(VLOOKUP($A194,'Pre-Assessment Estimator'!$A$10:$Z$228,S$2,FALSE)=0,"",VLOOKUP($A194,'Pre-Assessment Estimator'!$A$10:$Z$228,S$2,FALSE))</f>
        <v/>
      </c>
      <c r="T194" s="1223"/>
      <c r="U194" s="584" t="str">
        <f>IF(VLOOKUP($A194,'Pre-Assessment Estimator'!$A$10:$Z$228,U$2,FALSE)=0,"",VLOOKUP($A194,'Pre-Assessment Estimator'!$A$10:$Z$228,U$2,FALSE))</f>
        <v/>
      </c>
      <c r="V194" s="583">
        <f>VLOOKUP($A194,'Pre-Assessment Estimator'!$A$10:$Z$228,V$2,FALSE)</f>
        <v>0</v>
      </c>
      <c r="W194" s="582" t="str">
        <f>VLOOKUP($A194,'Pre-Assessment Estimator'!$A$10:$Z$228,W$2,FALSE)</f>
        <v>Credits achieved: 0</v>
      </c>
      <c r="X194" s="1202" t="str">
        <f>IF(VLOOKUP($A194,'Pre-Assessment Estimator'!$A$10:$Z$228,X$2,FALSE)=0,"",VLOOKUP($A194,'Pre-Assessment Estimator'!$A$10:$Z$228,X$2,FALSE))</f>
        <v/>
      </c>
      <c r="Y194" s="1202" t="str">
        <f>IF(VLOOKUP($A194,'Pre-Assessment Estimator'!$A$10:$Z$228,Y$2,FALSE)=0,"",VLOOKUP($A194,'Pre-Assessment Estimator'!$A$10:$Z$228,Y$2,FALSE))</f>
        <v/>
      </c>
      <c r="Z194" s="1224" t="str">
        <f>IF(VLOOKUP($A194,'Pre-Assessment Estimator'!$A$10:$Z$228,Z$2,FALSE)=0,"",VLOOKUP($A194,'Pre-Assessment Estimator'!$A$10:$Z$228,Z$2,FALSE))</f>
        <v/>
      </c>
      <c r="AA194" s="696">
        <v>181</v>
      </c>
      <c r="AB194" s="577" t="str">
        <f>IF(VLOOKUP($A194,'Pre-Assessment Estimator'!$A$10:$AB$228,AB$2,FALSE)=0,"",VLOOKUP($A194,'Pre-Assessment Estimator'!$A$10:$AB$228,AB$2,FALSE))</f>
        <v/>
      </c>
      <c r="AF194" s="386">
        <f t="shared" si="3"/>
        <v>1</v>
      </c>
    </row>
    <row r="195" spans="1:32" x14ac:dyDescent="0.25">
      <c r="A195" s="823">
        <v>186</v>
      </c>
      <c r="B195" s="1234" t="s">
        <v>70</v>
      </c>
      <c r="C195" s="1234"/>
      <c r="D195" s="585"/>
      <c r="E195" s="585"/>
      <c r="F195" s="586"/>
      <c r="G195" s="586"/>
      <c r="H195" s="586"/>
      <c r="I195" s="586"/>
      <c r="J195" s="585"/>
      <c r="K195" s="586"/>
      <c r="L195" s="585"/>
      <c r="M195" s="579"/>
      <c r="N195" s="586"/>
      <c r="O195" s="586"/>
      <c r="P195" s="586"/>
      <c r="Q195" s="585"/>
      <c r="R195" s="586"/>
      <c r="S195" s="585"/>
      <c r="T195" s="581"/>
      <c r="U195" s="586"/>
      <c r="V195" s="586"/>
      <c r="W195" s="586"/>
      <c r="X195" s="585"/>
      <c r="Y195" s="586"/>
      <c r="Z195" s="343"/>
      <c r="AA195" s="696">
        <v>182</v>
      </c>
      <c r="AB195" s="577" t="str">
        <f>IF(VLOOKUP($A195,'Pre-Assessment Estimator'!$A$10:$AB$228,AB$2,FALSE)=0,"",VLOOKUP($A195,'Pre-Assessment Estimator'!$A$10:$AB$228,AB$2,FALSE))</f>
        <v/>
      </c>
      <c r="AF195" s="386">
        <f t="shared" si="3"/>
        <v>1</v>
      </c>
    </row>
    <row r="196" spans="1:32" ht="18.75" x14ac:dyDescent="0.25">
      <c r="A196" s="823">
        <v>187</v>
      </c>
      <c r="B196" s="1234" t="s">
        <v>70</v>
      </c>
      <c r="C196" s="1234"/>
      <c r="D196" s="587"/>
      <c r="E196" s="587" t="s">
        <v>70</v>
      </c>
      <c r="F196" s="570"/>
      <c r="G196" s="570"/>
      <c r="H196" s="570"/>
      <c r="I196" s="570"/>
      <c r="J196" s="571"/>
      <c r="K196" s="570"/>
      <c r="L196" s="571"/>
      <c r="M196" s="579"/>
      <c r="N196" s="570"/>
      <c r="O196" s="570"/>
      <c r="P196" s="570"/>
      <c r="Q196" s="571"/>
      <c r="R196" s="570"/>
      <c r="S196" s="571"/>
      <c r="T196" s="581"/>
      <c r="U196" s="570"/>
      <c r="V196" s="570"/>
      <c r="W196" s="570"/>
      <c r="X196" s="571"/>
      <c r="Y196" s="570"/>
      <c r="Z196" s="411"/>
      <c r="AA196" s="696">
        <v>183</v>
      </c>
      <c r="AB196" s="577"/>
      <c r="AF196" s="386">
        <f t="shared" si="3"/>
        <v>1</v>
      </c>
    </row>
    <row r="197" spans="1:32" x14ac:dyDescent="0.25">
      <c r="A197" s="823">
        <v>188</v>
      </c>
      <c r="B197" s="1234" t="s">
        <v>70</v>
      </c>
      <c r="C197" s="1234"/>
      <c r="D197" s="1256" t="str">
        <f>VLOOKUP($A197,'Pre-Assessment Estimator'!$A$10:$Z$228,D$2,FALSE)</f>
        <v>POL 01</v>
      </c>
      <c r="E197" s="1256" t="str">
        <f>VLOOKUP($A197,'Pre-Assessment Estimator'!$A$10:$Z$228,E$2,FALSE)</f>
        <v>POL 01 Impacts of refrigerants</v>
      </c>
      <c r="F197" s="574">
        <f>VLOOKUP($A197,'Pre-Assessment Estimator'!$A$10:$Z$228,F$2,FALSE)</f>
        <v>3</v>
      </c>
      <c r="G197" s="580" t="str">
        <f>IF(VLOOKUP($A197,'Pre-Assessment Estimator'!$A$10:$Z$228,G$2,FALSE)=0,"",VLOOKUP($A197,'Pre-Assessment Estimator'!$A$10:$Z$228,G$2,FALSE))</f>
        <v/>
      </c>
      <c r="H197" s="1220" t="str">
        <f>VLOOKUP($A197,'Pre-Assessment Estimator'!$A$10:$Z$228,H$2,FALSE)</f>
        <v>0 c. 0 %</v>
      </c>
      <c r="I197" s="576" t="str">
        <f>VLOOKUP($A197,'Pre-Assessment Estimator'!$A$10:$Z$228,I$2,FALSE)</f>
        <v>N/A</v>
      </c>
      <c r="J197" s="577" t="str">
        <f>IF(VLOOKUP($A197,'Pre-Assessment Estimator'!$A$10:$Z$228,J$2,FALSE)=0,"",VLOOKUP($A197,'Pre-Assessment Estimator'!$A$10:$Z$228,J$2,FALSE))</f>
        <v/>
      </c>
      <c r="K197" s="577" t="str">
        <f>IF(VLOOKUP($A197,'Pre-Assessment Estimator'!$A$10:$Z$228,K$2,FALSE)=0,"",VLOOKUP($A197,'Pre-Assessment Estimator'!$A$10:$Z$228,K$2,FALSE))</f>
        <v/>
      </c>
      <c r="L197" s="578" t="str">
        <f>IF(VLOOKUP($A197,'Pre-Assessment Estimator'!$A$10:$Z$228,L$2,FALSE)=0,"",VLOOKUP($A197,'Pre-Assessment Estimator'!$A$10:$Z$228,L$2,FALSE))</f>
        <v/>
      </c>
      <c r="M197" s="579"/>
      <c r="N197" s="580" t="str">
        <f>IF(VLOOKUP($A197,'Pre-Assessment Estimator'!$A$10:$Z$228,N$2,FALSE)=0,"",VLOOKUP($A197,'Pre-Assessment Estimator'!$A$10:$Z$228,N$2,FALSE))</f>
        <v/>
      </c>
      <c r="O197" s="575" t="str">
        <f>VLOOKUP($A197,'Pre-Assessment Estimator'!$A$10:$Z$228,O$2,FALSE)</f>
        <v>0 c. 0 %</v>
      </c>
      <c r="P197" s="574" t="str">
        <f>VLOOKUP($A197,'Pre-Assessment Estimator'!$A$10:$Z$228,P$2,FALSE)</f>
        <v>N/A</v>
      </c>
      <c r="Q197" s="577" t="str">
        <f>IF(VLOOKUP($A197,'Pre-Assessment Estimator'!$A$10:$Z$228,Q$2,FALSE)=0,"",VLOOKUP($A197,'Pre-Assessment Estimator'!$A$10:$Z$228,Q$2,FALSE))</f>
        <v/>
      </c>
      <c r="R197" s="577" t="str">
        <f>IF(VLOOKUP($A197,'Pre-Assessment Estimator'!$A$10:$Z$228,R$2,FALSE)=0,"",VLOOKUP($A197,'Pre-Assessment Estimator'!$A$10:$Z$228,R$2,FALSE))</f>
        <v/>
      </c>
      <c r="S197" s="578" t="str">
        <f>IF(VLOOKUP($A197,'Pre-Assessment Estimator'!$A$10:$Z$228,S$2,FALSE)=0,"",VLOOKUP($A197,'Pre-Assessment Estimator'!$A$10:$Z$228,S$2,FALSE))</f>
        <v/>
      </c>
      <c r="T197" s="581"/>
      <c r="U197" s="580" t="str">
        <f>IF(VLOOKUP($A197,'Pre-Assessment Estimator'!$A$10:$Z$228,U$2,FALSE)=0,"",VLOOKUP($A197,'Pre-Assessment Estimator'!$A$10:$Z$228,U$2,FALSE))</f>
        <v/>
      </c>
      <c r="V197" s="575" t="str">
        <f>VLOOKUP($A197,'Pre-Assessment Estimator'!$A$10:$Z$228,V$2,FALSE)</f>
        <v>0 c. 0 %</v>
      </c>
      <c r="W197" s="574" t="str">
        <f>VLOOKUP($A197,'Pre-Assessment Estimator'!$A$10:$Z$228,W$2,FALSE)</f>
        <v>N/A</v>
      </c>
      <c r="X197" s="577" t="str">
        <f>IF(VLOOKUP($A197,'Pre-Assessment Estimator'!$A$10:$Z$228,X$2,FALSE)=0,"",VLOOKUP($A197,'Pre-Assessment Estimator'!$A$10:$Z$228,X$2,FALSE))</f>
        <v/>
      </c>
      <c r="Y197" s="577" t="str">
        <f>IF(VLOOKUP($A197,'Pre-Assessment Estimator'!$A$10:$Z$228,Y$2,FALSE)=0,"",VLOOKUP($A197,'Pre-Assessment Estimator'!$A$10:$Z$228,Y$2,FALSE))</f>
        <v/>
      </c>
      <c r="Z197" s="370" t="str">
        <f>IF(VLOOKUP($A197,'Pre-Assessment Estimator'!$A$10:$Z$228,Z$2,FALSE)=0,"",VLOOKUP($A197,'Pre-Assessment Estimator'!$A$10:$Z$228,Z$2,FALSE))</f>
        <v/>
      </c>
      <c r="AA197" s="696">
        <v>184</v>
      </c>
      <c r="AB197" s="577"/>
      <c r="AF197" s="386">
        <f t="shared" si="3"/>
        <v>1</v>
      </c>
    </row>
    <row r="198" spans="1:32" x14ac:dyDescent="0.25">
      <c r="A198" s="823">
        <v>189</v>
      </c>
      <c r="B198" s="1234" t="s">
        <v>70</v>
      </c>
      <c r="C198" s="1234"/>
      <c r="D198" s="1257" t="str">
        <f>VLOOKUP($A198,'Pre-Assessment Estimator'!$A$10:$Z$228,D$2,FALSE)</f>
        <v>POL 01</v>
      </c>
      <c r="E198" s="1257" t="str">
        <f>VLOOKUP($A198,'Pre-Assessment Estimator'!$A$10:$Z$228,E$2,FALSE)</f>
        <v>No refrigerants in the building</v>
      </c>
      <c r="F198" s="574">
        <f>VLOOKUP($A198,'Pre-Assessment Estimator'!$A$10:$Z$228,F$2,FALSE)</f>
        <v>3</v>
      </c>
      <c r="G198" s="580" t="str">
        <f>IF(VLOOKUP($A198,'Pre-Assessment Estimator'!$A$10:$Z$228,G$2,FALSE)=0,"",VLOOKUP($A198,'Pre-Assessment Estimator'!$A$10:$Z$228,G$2,FALSE))</f>
        <v/>
      </c>
      <c r="H198" s="1220">
        <f>VLOOKUP($A198,'Pre-Assessment Estimator'!$A$10:$Z$228,H$2,FALSE)</f>
        <v>0</v>
      </c>
      <c r="I198" s="576" t="str">
        <f>VLOOKUP($A198,'Pre-Assessment Estimator'!$A$10:$Z$228,I$2,FALSE)</f>
        <v>N/A</v>
      </c>
      <c r="J198" s="577" t="str">
        <f>IF(VLOOKUP($A198,'Pre-Assessment Estimator'!$A$10:$Z$228,J$2,FALSE)=0,"",VLOOKUP($A198,'Pre-Assessment Estimator'!$A$10:$Z$228,J$2,FALSE))</f>
        <v/>
      </c>
      <c r="K198" s="577" t="str">
        <f>IF(VLOOKUP($A198,'Pre-Assessment Estimator'!$A$10:$Z$228,K$2,FALSE)=0,"",VLOOKUP($A198,'Pre-Assessment Estimator'!$A$10:$Z$228,K$2,FALSE))</f>
        <v/>
      </c>
      <c r="L198" s="578" t="str">
        <f>IF(VLOOKUP($A198,'Pre-Assessment Estimator'!$A$10:$Z$228,L$2,FALSE)=0,"",VLOOKUP($A198,'Pre-Assessment Estimator'!$A$10:$Z$228,L$2,FALSE))</f>
        <v/>
      </c>
      <c r="M198" s="579"/>
      <c r="N198" s="580" t="str">
        <f>IF(VLOOKUP($A198,'Pre-Assessment Estimator'!$A$10:$Z$228,N$2,FALSE)=0,"",VLOOKUP($A198,'Pre-Assessment Estimator'!$A$10:$Z$228,N$2,FALSE))</f>
        <v/>
      </c>
      <c r="O198" s="575">
        <f>VLOOKUP($A198,'Pre-Assessment Estimator'!$A$10:$Z$228,O$2,FALSE)</f>
        <v>0</v>
      </c>
      <c r="P198" s="574" t="str">
        <f>VLOOKUP($A198,'Pre-Assessment Estimator'!$A$10:$Z$228,P$2,FALSE)</f>
        <v>N/A</v>
      </c>
      <c r="Q198" s="577" t="str">
        <f>IF(VLOOKUP($A198,'Pre-Assessment Estimator'!$A$10:$Z$228,Q$2,FALSE)=0,"",VLOOKUP($A198,'Pre-Assessment Estimator'!$A$10:$Z$228,Q$2,FALSE))</f>
        <v/>
      </c>
      <c r="R198" s="577" t="str">
        <f>IF(VLOOKUP($A198,'Pre-Assessment Estimator'!$A$10:$Z$228,R$2,FALSE)=0,"",VLOOKUP($A198,'Pre-Assessment Estimator'!$A$10:$Z$228,R$2,FALSE))</f>
        <v/>
      </c>
      <c r="S198" s="578" t="str">
        <f>IF(VLOOKUP($A198,'Pre-Assessment Estimator'!$A$10:$Z$228,S$2,FALSE)=0,"",VLOOKUP($A198,'Pre-Assessment Estimator'!$A$10:$Z$228,S$2,FALSE))</f>
        <v/>
      </c>
      <c r="T198" s="581"/>
      <c r="U198" s="580" t="str">
        <f>IF(VLOOKUP($A198,'Pre-Assessment Estimator'!$A$10:$Z$228,U$2,FALSE)=0,"",VLOOKUP($A198,'Pre-Assessment Estimator'!$A$10:$Z$228,U$2,FALSE))</f>
        <v/>
      </c>
      <c r="V198" s="575">
        <f>VLOOKUP($A198,'Pre-Assessment Estimator'!$A$10:$Z$228,V$2,FALSE)</f>
        <v>0</v>
      </c>
      <c r="W198" s="574" t="str">
        <f>VLOOKUP($A198,'Pre-Assessment Estimator'!$A$10:$Z$228,W$2,FALSE)</f>
        <v>N/A</v>
      </c>
      <c r="X198" s="577" t="str">
        <f>IF(VLOOKUP($A198,'Pre-Assessment Estimator'!$A$10:$Z$228,X$2,FALSE)=0,"",VLOOKUP($A198,'Pre-Assessment Estimator'!$A$10:$Z$228,X$2,FALSE))</f>
        <v/>
      </c>
      <c r="Y198" s="577" t="str">
        <f>IF(VLOOKUP($A198,'Pre-Assessment Estimator'!$A$10:$Z$228,Y$2,FALSE)=0,"",VLOOKUP($A198,'Pre-Assessment Estimator'!$A$10:$Z$228,Y$2,FALSE))</f>
        <v/>
      </c>
      <c r="Z198" s="370" t="str">
        <f>IF(VLOOKUP($A198,'Pre-Assessment Estimator'!$A$10:$Z$228,Z$2,FALSE)=0,"",VLOOKUP($A198,'Pre-Assessment Estimator'!$A$10:$Z$228,Z$2,FALSE))</f>
        <v/>
      </c>
      <c r="AA198" s="696">
        <v>185</v>
      </c>
      <c r="AB198" s="577"/>
      <c r="AF198" s="386">
        <f t="shared" si="3"/>
        <v>1</v>
      </c>
    </row>
    <row r="199" spans="1:32" x14ac:dyDescent="0.25">
      <c r="A199" s="823">
        <v>190</v>
      </c>
      <c r="B199" s="1234" t="s">
        <v>70</v>
      </c>
      <c r="C199" s="1234"/>
      <c r="D199" s="1257" t="str">
        <f>VLOOKUP($A199,'Pre-Assessment Estimator'!$A$10:$Z$228,D$2,FALSE)</f>
        <v>POL 01</v>
      </c>
      <c r="E199" s="1257" t="str">
        <f>VLOOKUP($A199,'Pre-Assessment Estimator'!$A$10:$Z$228,E$2,FALSE)</f>
        <v>Pre-requisite: impact of refrigerants</v>
      </c>
      <c r="F199" s="574">
        <f>VLOOKUP($A199,'Pre-Assessment Estimator'!$A$10:$Z$228,F$2,FALSE)</f>
        <v>0</v>
      </c>
      <c r="G199" s="580" t="str">
        <f>IF(VLOOKUP($A199,'Pre-Assessment Estimator'!$A$10:$Z$228,G$2,FALSE)=0,"",VLOOKUP($A199,'Pre-Assessment Estimator'!$A$10:$Z$228,G$2,FALSE))</f>
        <v/>
      </c>
      <c r="H199" s="1220" t="str">
        <f>VLOOKUP($A199,'Pre-Assessment Estimator'!$A$10:$Z$228,H$2,FALSE)</f>
        <v>-</v>
      </c>
      <c r="I199" s="576" t="str">
        <f>VLOOKUP($A199,'Pre-Assessment Estimator'!$A$10:$Z$228,I$2,FALSE)</f>
        <v>N/A</v>
      </c>
      <c r="J199" s="577" t="str">
        <f>IF(VLOOKUP($A199,'Pre-Assessment Estimator'!$A$10:$Z$228,J$2,FALSE)=0,"",VLOOKUP($A199,'Pre-Assessment Estimator'!$A$10:$Z$228,J$2,FALSE))</f>
        <v/>
      </c>
      <c r="K199" s="577" t="str">
        <f>IF(VLOOKUP($A199,'Pre-Assessment Estimator'!$A$10:$Z$228,K$2,FALSE)=0,"",VLOOKUP($A199,'Pre-Assessment Estimator'!$A$10:$Z$228,K$2,FALSE))</f>
        <v/>
      </c>
      <c r="L199" s="578" t="str">
        <f>IF(VLOOKUP($A199,'Pre-Assessment Estimator'!$A$10:$Z$228,L$2,FALSE)=0,"",VLOOKUP($A199,'Pre-Assessment Estimator'!$A$10:$Z$228,L$2,FALSE))</f>
        <v/>
      </c>
      <c r="M199" s="579"/>
      <c r="N199" s="580" t="str">
        <f>IF(VLOOKUP($A199,'Pre-Assessment Estimator'!$A$10:$Z$228,N$2,FALSE)=0,"",VLOOKUP($A199,'Pre-Assessment Estimator'!$A$10:$Z$228,N$2,FALSE))</f>
        <v/>
      </c>
      <c r="O199" s="575" t="str">
        <f>VLOOKUP($A199,'Pre-Assessment Estimator'!$A$10:$Z$228,O$2,FALSE)</f>
        <v>-</v>
      </c>
      <c r="P199" s="574" t="str">
        <f>VLOOKUP($A199,'Pre-Assessment Estimator'!$A$10:$Z$228,P$2,FALSE)</f>
        <v>N/A</v>
      </c>
      <c r="Q199" s="577" t="str">
        <f>IF(VLOOKUP($A199,'Pre-Assessment Estimator'!$A$10:$Z$228,Q$2,FALSE)=0,"",VLOOKUP($A199,'Pre-Assessment Estimator'!$A$10:$Z$228,Q$2,FALSE))</f>
        <v/>
      </c>
      <c r="R199" s="577" t="str">
        <f>IF(VLOOKUP($A199,'Pre-Assessment Estimator'!$A$10:$Z$228,R$2,FALSE)=0,"",VLOOKUP($A199,'Pre-Assessment Estimator'!$A$10:$Z$228,R$2,FALSE))</f>
        <v/>
      </c>
      <c r="S199" s="578" t="str">
        <f>IF(VLOOKUP($A199,'Pre-Assessment Estimator'!$A$10:$Z$228,S$2,FALSE)=0,"",VLOOKUP($A199,'Pre-Assessment Estimator'!$A$10:$Z$228,S$2,FALSE))</f>
        <v/>
      </c>
      <c r="T199" s="581"/>
      <c r="U199" s="580" t="str">
        <f>IF(VLOOKUP($A199,'Pre-Assessment Estimator'!$A$10:$Z$228,U$2,FALSE)=0,"",VLOOKUP($A199,'Pre-Assessment Estimator'!$A$10:$Z$228,U$2,FALSE))</f>
        <v/>
      </c>
      <c r="V199" s="575" t="str">
        <f>VLOOKUP($A199,'Pre-Assessment Estimator'!$A$10:$Z$228,V$2,FALSE)</f>
        <v>-</v>
      </c>
      <c r="W199" s="574" t="str">
        <f>VLOOKUP($A199,'Pre-Assessment Estimator'!$A$10:$Z$228,W$2,FALSE)</f>
        <v>N/A</v>
      </c>
      <c r="X199" s="577" t="str">
        <f>IF(VLOOKUP($A199,'Pre-Assessment Estimator'!$A$10:$Z$228,X$2,FALSE)=0,"",VLOOKUP($A199,'Pre-Assessment Estimator'!$A$10:$Z$228,X$2,FALSE))</f>
        <v/>
      </c>
      <c r="Y199" s="577" t="str">
        <f>IF(VLOOKUP($A199,'Pre-Assessment Estimator'!$A$10:$Z$228,Y$2,FALSE)=0,"",VLOOKUP($A199,'Pre-Assessment Estimator'!$A$10:$Z$228,Y$2,FALSE))</f>
        <v/>
      </c>
      <c r="Z199" s="370" t="str">
        <f>IF(VLOOKUP($A199,'Pre-Assessment Estimator'!$A$10:$Z$228,Z$2,FALSE)=0,"",VLOOKUP($A199,'Pre-Assessment Estimator'!$A$10:$Z$228,Z$2,FALSE))</f>
        <v/>
      </c>
      <c r="AA199" s="696">
        <v>186</v>
      </c>
      <c r="AB199" s="577"/>
      <c r="AF199" s="386">
        <f t="shared" si="3"/>
        <v>2</v>
      </c>
    </row>
    <row r="200" spans="1:32" x14ac:dyDescent="0.25">
      <c r="A200" s="823">
        <v>191</v>
      </c>
      <c r="B200" s="1234" t="s">
        <v>70</v>
      </c>
      <c r="C200" s="1234"/>
      <c r="D200" s="1257" t="str">
        <f>VLOOKUP($A200,'Pre-Assessment Estimator'!$A$10:$Z$228,D$2,FALSE)</f>
        <v>POL 01</v>
      </c>
      <c r="E200" s="1257" t="str">
        <f>VLOOKUP($A200,'Pre-Assessment Estimator'!$A$10:$Z$228,E$2,FALSE)</f>
        <v>Impact of refrigerants</v>
      </c>
      <c r="F200" s="574">
        <f>VLOOKUP($A200,'Pre-Assessment Estimator'!$A$10:$Z$228,F$2,FALSE)</f>
        <v>0</v>
      </c>
      <c r="G200" s="580" t="str">
        <f>IF(VLOOKUP($A200,'Pre-Assessment Estimator'!$A$10:$Z$228,G$2,FALSE)=0,"",VLOOKUP($A200,'Pre-Assessment Estimator'!$A$10:$Z$228,G$2,FALSE))</f>
        <v/>
      </c>
      <c r="H200" s="1220">
        <f>VLOOKUP($A200,'Pre-Assessment Estimator'!$A$10:$Z$228,H$2,FALSE)</f>
        <v>0</v>
      </c>
      <c r="I200" s="576" t="str">
        <f>VLOOKUP($A200,'Pre-Assessment Estimator'!$A$10:$Z$228,I$2,FALSE)</f>
        <v>N/A</v>
      </c>
      <c r="J200" s="577" t="str">
        <f>IF(VLOOKUP($A200,'Pre-Assessment Estimator'!$A$10:$Z$228,J$2,FALSE)=0,"",VLOOKUP($A200,'Pre-Assessment Estimator'!$A$10:$Z$228,J$2,FALSE))</f>
        <v/>
      </c>
      <c r="K200" s="577" t="str">
        <f>IF(VLOOKUP($A200,'Pre-Assessment Estimator'!$A$10:$Z$228,K$2,FALSE)=0,"",VLOOKUP($A200,'Pre-Assessment Estimator'!$A$10:$Z$228,K$2,FALSE))</f>
        <v/>
      </c>
      <c r="L200" s="578" t="str">
        <f>IF(VLOOKUP($A200,'Pre-Assessment Estimator'!$A$10:$Z$228,L$2,FALSE)=0,"",VLOOKUP($A200,'Pre-Assessment Estimator'!$A$10:$Z$228,L$2,FALSE))</f>
        <v/>
      </c>
      <c r="M200" s="579"/>
      <c r="N200" s="580" t="str">
        <f>IF(VLOOKUP($A200,'Pre-Assessment Estimator'!$A$10:$Z$228,N$2,FALSE)=0,"",VLOOKUP($A200,'Pre-Assessment Estimator'!$A$10:$Z$228,N$2,FALSE))</f>
        <v/>
      </c>
      <c r="O200" s="575">
        <f>VLOOKUP($A200,'Pre-Assessment Estimator'!$A$10:$Z$228,O$2,FALSE)</f>
        <v>0</v>
      </c>
      <c r="P200" s="574" t="str">
        <f>VLOOKUP($A200,'Pre-Assessment Estimator'!$A$10:$Z$228,P$2,FALSE)</f>
        <v>N/A</v>
      </c>
      <c r="Q200" s="577" t="str">
        <f>IF(VLOOKUP($A200,'Pre-Assessment Estimator'!$A$10:$Z$228,Q$2,FALSE)=0,"",VLOOKUP($A200,'Pre-Assessment Estimator'!$A$10:$Z$228,Q$2,FALSE))</f>
        <v/>
      </c>
      <c r="R200" s="577" t="str">
        <f>IF(VLOOKUP($A200,'Pre-Assessment Estimator'!$A$10:$Z$228,R$2,FALSE)=0,"",VLOOKUP($A200,'Pre-Assessment Estimator'!$A$10:$Z$228,R$2,FALSE))</f>
        <v/>
      </c>
      <c r="S200" s="578" t="str">
        <f>IF(VLOOKUP($A200,'Pre-Assessment Estimator'!$A$10:$Z$228,S$2,FALSE)=0,"",VLOOKUP($A200,'Pre-Assessment Estimator'!$A$10:$Z$228,S$2,FALSE))</f>
        <v/>
      </c>
      <c r="T200" s="581"/>
      <c r="U200" s="580" t="str">
        <f>IF(VLOOKUP($A200,'Pre-Assessment Estimator'!$A$10:$Z$228,U$2,FALSE)=0,"",VLOOKUP($A200,'Pre-Assessment Estimator'!$A$10:$Z$228,U$2,FALSE))</f>
        <v/>
      </c>
      <c r="V200" s="575">
        <f>VLOOKUP($A200,'Pre-Assessment Estimator'!$A$10:$Z$228,V$2,FALSE)</f>
        <v>0</v>
      </c>
      <c r="W200" s="574" t="str">
        <f>VLOOKUP($A200,'Pre-Assessment Estimator'!$A$10:$Z$228,W$2,FALSE)</f>
        <v>N/A</v>
      </c>
      <c r="X200" s="577" t="str">
        <f>IF(VLOOKUP($A200,'Pre-Assessment Estimator'!$A$10:$Z$228,X$2,FALSE)=0,"",VLOOKUP($A200,'Pre-Assessment Estimator'!$A$10:$Z$228,X$2,FALSE))</f>
        <v/>
      </c>
      <c r="Y200" s="577" t="str">
        <f>IF(VLOOKUP($A200,'Pre-Assessment Estimator'!$A$10:$Z$228,Y$2,FALSE)=0,"",VLOOKUP($A200,'Pre-Assessment Estimator'!$A$10:$Z$228,Y$2,FALSE))</f>
        <v/>
      </c>
      <c r="Z200" s="370" t="str">
        <f>IF(VLOOKUP($A200,'Pre-Assessment Estimator'!$A$10:$Z$228,Z$2,FALSE)=0,"",VLOOKUP($A200,'Pre-Assessment Estimator'!$A$10:$Z$228,Z$2,FALSE))</f>
        <v/>
      </c>
      <c r="AA200" s="696">
        <v>187</v>
      </c>
      <c r="AB200" s="577"/>
      <c r="AF200" s="386">
        <f t="shared" si="3"/>
        <v>2</v>
      </c>
    </row>
    <row r="201" spans="1:32" x14ac:dyDescent="0.25">
      <c r="A201" s="823">
        <v>192</v>
      </c>
      <c r="B201" s="1234" t="s">
        <v>70</v>
      </c>
      <c r="C201" s="1234"/>
      <c r="D201" s="1257" t="str">
        <f>VLOOKUP($A201,'Pre-Assessment Estimator'!$A$10:$Z$228,D$2,FALSE)</f>
        <v>POL 01</v>
      </c>
      <c r="E201" s="1257" t="str">
        <f>VLOOKUP($A201,'Pre-Assessment Estimator'!$A$10:$Z$228,E$2,FALSE)</f>
        <v>Leak detection</v>
      </c>
      <c r="F201" s="574">
        <f>VLOOKUP($A201,'Pre-Assessment Estimator'!$A$10:$Z$228,F$2,FALSE)</f>
        <v>0</v>
      </c>
      <c r="G201" s="580" t="str">
        <f>IF(VLOOKUP($A201,'Pre-Assessment Estimator'!$A$10:$Z$228,G$2,FALSE)=0,"",VLOOKUP($A201,'Pre-Assessment Estimator'!$A$10:$Z$228,G$2,FALSE))</f>
        <v/>
      </c>
      <c r="H201" s="1220">
        <f>VLOOKUP($A201,'Pre-Assessment Estimator'!$A$10:$Z$228,H$2,FALSE)</f>
        <v>0</v>
      </c>
      <c r="I201" s="576" t="str">
        <f>VLOOKUP($A201,'Pre-Assessment Estimator'!$A$10:$Z$228,I$2,FALSE)</f>
        <v>N/A</v>
      </c>
      <c r="J201" s="577" t="str">
        <f>IF(VLOOKUP($A201,'Pre-Assessment Estimator'!$A$10:$Z$228,J$2,FALSE)=0,"",VLOOKUP($A201,'Pre-Assessment Estimator'!$A$10:$Z$228,J$2,FALSE))</f>
        <v/>
      </c>
      <c r="K201" s="577" t="str">
        <f>IF(VLOOKUP($A201,'Pre-Assessment Estimator'!$A$10:$Z$228,K$2,FALSE)=0,"",VLOOKUP($A201,'Pre-Assessment Estimator'!$A$10:$Z$228,K$2,FALSE))</f>
        <v/>
      </c>
      <c r="L201" s="578" t="str">
        <f>IF(VLOOKUP($A201,'Pre-Assessment Estimator'!$A$10:$Z$228,L$2,FALSE)=0,"",VLOOKUP($A201,'Pre-Assessment Estimator'!$A$10:$Z$228,L$2,FALSE))</f>
        <v/>
      </c>
      <c r="M201" s="579"/>
      <c r="N201" s="580" t="str">
        <f>IF(VLOOKUP($A201,'Pre-Assessment Estimator'!$A$10:$Z$228,N$2,FALSE)=0,"",VLOOKUP($A201,'Pre-Assessment Estimator'!$A$10:$Z$228,N$2,FALSE))</f>
        <v/>
      </c>
      <c r="O201" s="575">
        <f>VLOOKUP($A201,'Pre-Assessment Estimator'!$A$10:$Z$228,O$2,FALSE)</f>
        <v>0</v>
      </c>
      <c r="P201" s="574" t="str">
        <f>VLOOKUP($A201,'Pre-Assessment Estimator'!$A$10:$Z$228,P$2,FALSE)</f>
        <v>N/A</v>
      </c>
      <c r="Q201" s="577" t="str">
        <f>IF(VLOOKUP($A201,'Pre-Assessment Estimator'!$A$10:$Z$228,Q$2,FALSE)=0,"",VLOOKUP($A201,'Pre-Assessment Estimator'!$A$10:$Z$228,Q$2,FALSE))</f>
        <v/>
      </c>
      <c r="R201" s="577" t="str">
        <f>IF(VLOOKUP($A201,'Pre-Assessment Estimator'!$A$10:$Z$228,R$2,FALSE)=0,"",VLOOKUP($A201,'Pre-Assessment Estimator'!$A$10:$Z$228,R$2,FALSE))</f>
        <v/>
      </c>
      <c r="S201" s="578" t="str">
        <f>IF(VLOOKUP($A201,'Pre-Assessment Estimator'!$A$10:$Z$228,S$2,FALSE)=0,"",VLOOKUP($A201,'Pre-Assessment Estimator'!$A$10:$Z$228,S$2,FALSE))</f>
        <v/>
      </c>
      <c r="T201" s="581"/>
      <c r="U201" s="580" t="str">
        <f>IF(VLOOKUP($A201,'Pre-Assessment Estimator'!$A$10:$Z$228,U$2,FALSE)=0,"",VLOOKUP($A201,'Pre-Assessment Estimator'!$A$10:$Z$228,U$2,FALSE))</f>
        <v/>
      </c>
      <c r="V201" s="575">
        <f>VLOOKUP($A201,'Pre-Assessment Estimator'!$A$10:$Z$228,V$2,FALSE)</f>
        <v>0</v>
      </c>
      <c r="W201" s="574" t="str">
        <f>VLOOKUP($A201,'Pre-Assessment Estimator'!$A$10:$Z$228,W$2,FALSE)</f>
        <v>N/A</v>
      </c>
      <c r="X201" s="577" t="str">
        <f>IF(VLOOKUP($A201,'Pre-Assessment Estimator'!$A$10:$Z$228,X$2,FALSE)=0,"",VLOOKUP($A201,'Pre-Assessment Estimator'!$A$10:$Z$228,X$2,FALSE))</f>
        <v/>
      </c>
      <c r="Y201" s="577" t="str">
        <f>IF(VLOOKUP($A201,'Pre-Assessment Estimator'!$A$10:$Z$228,Y$2,FALSE)=0,"",VLOOKUP($A201,'Pre-Assessment Estimator'!$A$10:$Z$228,Y$2,FALSE))</f>
        <v/>
      </c>
      <c r="Z201" s="370" t="str">
        <f>IF(VLOOKUP($A201,'Pre-Assessment Estimator'!$A$10:$Z$228,Z$2,FALSE)=0,"",VLOOKUP($A201,'Pre-Assessment Estimator'!$A$10:$Z$228,Z$2,FALSE))</f>
        <v/>
      </c>
      <c r="AA201" s="696">
        <v>188</v>
      </c>
      <c r="AB201" s="577"/>
      <c r="AF201" s="386">
        <f t="shared" si="3"/>
        <v>2</v>
      </c>
    </row>
    <row r="202" spans="1:32" x14ac:dyDescent="0.25">
      <c r="A202" s="823">
        <v>193</v>
      </c>
      <c r="B202" s="1234" t="s">
        <v>70</v>
      </c>
      <c r="C202" s="1234"/>
      <c r="D202" s="1256" t="str">
        <f>VLOOKUP($A202,'Pre-Assessment Estimator'!$A$10:$Z$228,D$2,FALSE)</f>
        <v>POL 02</v>
      </c>
      <c r="E202" s="1256" t="str">
        <f>VLOOKUP($A202,'Pre-Assessment Estimator'!$A$10:$Z$228,E$2,FALSE)</f>
        <v>POL 02 Local air quality</v>
      </c>
      <c r="F202" s="574">
        <f>VLOOKUP($A202,'Pre-Assessment Estimator'!$A$10:$Z$228,F$2,FALSE)</f>
        <v>2</v>
      </c>
      <c r="G202" s="580" t="str">
        <f>IF(VLOOKUP($A202,'Pre-Assessment Estimator'!$A$10:$Z$228,G$2,FALSE)=0,"",VLOOKUP($A202,'Pre-Assessment Estimator'!$A$10:$Z$228,G$2,FALSE))</f>
        <v/>
      </c>
      <c r="H202" s="1220" t="str">
        <f>VLOOKUP($A202,'Pre-Assessment Estimator'!$A$10:$Z$228,H$2,FALSE)</f>
        <v>0 c. 0 %</v>
      </c>
      <c r="I202" s="576" t="str">
        <f>VLOOKUP($A202,'Pre-Assessment Estimator'!$A$10:$Z$228,I$2,FALSE)</f>
        <v>N/A</v>
      </c>
      <c r="J202" s="577" t="str">
        <f>IF(VLOOKUP($A202,'Pre-Assessment Estimator'!$A$10:$Z$228,J$2,FALSE)=0,"",VLOOKUP($A202,'Pre-Assessment Estimator'!$A$10:$Z$228,J$2,FALSE))</f>
        <v/>
      </c>
      <c r="K202" s="577" t="str">
        <f>IF(VLOOKUP($A202,'Pre-Assessment Estimator'!$A$10:$Z$228,K$2,FALSE)=0,"",VLOOKUP($A202,'Pre-Assessment Estimator'!$A$10:$Z$228,K$2,FALSE))</f>
        <v/>
      </c>
      <c r="L202" s="578" t="str">
        <f>IF(VLOOKUP($A202,'Pre-Assessment Estimator'!$A$10:$Z$228,L$2,FALSE)=0,"",VLOOKUP($A202,'Pre-Assessment Estimator'!$A$10:$Z$228,L$2,FALSE))</f>
        <v/>
      </c>
      <c r="M202" s="579"/>
      <c r="N202" s="580" t="str">
        <f>IF(VLOOKUP($A202,'Pre-Assessment Estimator'!$A$10:$Z$228,N$2,FALSE)=0,"",VLOOKUP($A202,'Pre-Assessment Estimator'!$A$10:$Z$228,N$2,FALSE))</f>
        <v/>
      </c>
      <c r="O202" s="575" t="str">
        <f>VLOOKUP($A202,'Pre-Assessment Estimator'!$A$10:$Z$228,O$2,FALSE)</f>
        <v>0 c. 0 %</v>
      </c>
      <c r="P202" s="574" t="str">
        <f>VLOOKUP($A202,'Pre-Assessment Estimator'!$A$10:$Z$228,P$2,FALSE)</f>
        <v>N/A</v>
      </c>
      <c r="Q202" s="577" t="str">
        <f>IF(VLOOKUP($A202,'Pre-Assessment Estimator'!$A$10:$Z$228,Q$2,FALSE)=0,"",VLOOKUP($A202,'Pre-Assessment Estimator'!$A$10:$Z$228,Q$2,FALSE))</f>
        <v/>
      </c>
      <c r="R202" s="577" t="str">
        <f>IF(VLOOKUP($A202,'Pre-Assessment Estimator'!$A$10:$Z$228,R$2,FALSE)=0,"",VLOOKUP($A202,'Pre-Assessment Estimator'!$A$10:$Z$228,R$2,FALSE))</f>
        <v/>
      </c>
      <c r="S202" s="578" t="str">
        <f>IF(VLOOKUP($A202,'Pre-Assessment Estimator'!$A$10:$Z$228,S$2,FALSE)=0,"",VLOOKUP($A202,'Pre-Assessment Estimator'!$A$10:$Z$228,S$2,FALSE))</f>
        <v/>
      </c>
      <c r="T202" s="581"/>
      <c r="U202" s="580" t="str">
        <f>IF(VLOOKUP($A202,'Pre-Assessment Estimator'!$A$10:$Z$228,U$2,FALSE)=0,"",VLOOKUP($A202,'Pre-Assessment Estimator'!$A$10:$Z$228,U$2,FALSE))</f>
        <v/>
      </c>
      <c r="V202" s="575" t="str">
        <f>VLOOKUP($A202,'Pre-Assessment Estimator'!$A$10:$Z$228,V$2,FALSE)</f>
        <v>0 c. 0 %</v>
      </c>
      <c r="W202" s="574" t="str">
        <f>VLOOKUP($A202,'Pre-Assessment Estimator'!$A$10:$Z$228,W$2,FALSE)</f>
        <v>N/A</v>
      </c>
      <c r="X202" s="577" t="str">
        <f>IF(VLOOKUP($A202,'Pre-Assessment Estimator'!$A$10:$Z$228,X$2,FALSE)=0,"",VLOOKUP($A202,'Pre-Assessment Estimator'!$A$10:$Z$228,X$2,FALSE))</f>
        <v/>
      </c>
      <c r="Y202" s="577" t="str">
        <f>IF(VLOOKUP($A202,'Pre-Assessment Estimator'!$A$10:$Z$228,Y$2,FALSE)=0,"",VLOOKUP($A202,'Pre-Assessment Estimator'!$A$10:$Z$228,Y$2,FALSE))</f>
        <v/>
      </c>
      <c r="Z202" s="370" t="str">
        <f>IF(VLOOKUP($A202,'Pre-Assessment Estimator'!$A$10:$Z$228,Z$2,FALSE)=0,"",VLOOKUP($A202,'Pre-Assessment Estimator'!$A$10:$Z$228,Z$2,FALSE))</f>
        <v/>
      </c>
      <c r="AA202" s="696">
        <v>189</v>
      </c>
      <c r="AB202" s="577"/>
      <c r="AF202" s="386">
        <f t="shared" si="3"/>
        <v>1</v>
      </c>
    </row>
    <row r="203" spans="1:32" x14ac:dyDescent="0.25">
      <c r="A203" s="823">
        <v>194</v>
      </c>
      <c r="B203" s="1234" t="s">
        <v>70</v>
      </c>
      <c r="C203" s="1234"/>
      <c r="D203" s="1257" t="str">
        <f>VLOOKUP($A203,'Pre-Assessment Estimator'!$A$10:$Z$228,D$2,FALSE)</f>
        <v>POL 02</v>
      </c>
      <c r="E203" s="1257" t="str">
        <f>VLOOKUP($A203,'Pre-Assessment Estimator'!$A$10:$Z$228,E$2,FALSE)</f>
        <v>Non-combustion heating and hot water system</v>
      </c>
      <c r="F203" s="574">
        <f>VLOOKUP($A203,'Pre-Assessment Estimator'!$A$10:$Z$228,F$2,FALSE)</f>
        <v>2</v>
      </c>
      <c r="G203" s="580" t="str">
        <f>IF(VLOOKUP($A203,'Pre-Assessment Estimator'!$A$10:$Z$228,G$2,FALSE)=0,"",VLOOKUP($A203,'Pre-Assessment Estimator'!$A$10:$Z$228,G$2,FALSE))</f>
        <v/>
      </c>
      <c r="H203" s="1220">
        <f>VLOOKUP($A203,'Pre-Assessment Estimator'!$A$10:$Z$228,H$2,FALSE)</f>
        <v>0</v>
      </c>
      <c r="I203" s="576" t="str">
        <f>VLOOKUP($A203,'Pre-Assessment Estimator'!$A$10:$Z$228,I$2,FALSE)</f>
        <v>N/A</v>
      </c>
      <c r="J203" s="577" t="str">
        <f>IF(VLOOKUP($A203,'Pre-Assessment Estimator'!$A$10:$Z$228,J$2,FALSE)=0,"",VLOOKUP($A203,'Pre-Assessment Estimator'!$A$10:$Z$228,J$2,FALSE))</f>
        <v/>
      </c>
      <c r="K203" s="577" t="str">
        <f>IF(VLOOKUP($A203,'Pre-Assessment Estimator'!$A$10:$Z$228,K$2,FALSE)=0,"",VLOOKUP($A203,'Pre-Assessment Estimator'!$A$10:$Z$228,K$2,FALSE))</f>
        <v/>
      </c>
      <c r="L203" s="578" t="str">
        <f>IF(VLOOKUP($A203,'Pre-Assessment Estimator'!$A$10:$Z$228,L$2,FALSE)=0,"",VLOOKUP($A203,'Pre-Assessment Estimator'!$A$10:$Z$228,L$2,FALSE))</f>
        <v/>
      </c>
      <c r="M203" s="579"/>
      <c r="N203" s="580" t="str">
        <f>IF(VLOOKUP($A203,'Pre-Assessment Estimator'!$A$10:$Z$228,N$2,FALSE)=0,"",VLOOKUP($A203,'Pre-Assessment Estimator'!$A$10:$Z$228,N$2,FALSE))</f>
        <v/>
      </c>
      <c r="O203" s="575">
        <f>VLOOKUP($A203,'Pre-Assessment Estimator'!$A$10:$Z$228,O$2,FALSE)</f>
        <v>0</v>
      </c>
      <c r="P203" s="574" t="str">
        <f>VLOOKUP($A203,'Pre-Assessment Estimator'!$A$10:$Z$228,P$2,FALSE)</f>
        <v>N/A</v>
      </c>
      <c r="Q203" s="577" t="str">
        <f>IF(VLOOKUP($A203,'Pre-Assessment Estimator'!$A$10:$Z$228,Q$2,FALSE)=0,"",VLOOKUP($A203,'Pre-Assessment Estimator'!$A$10:$Z$228,Q$2,FALSE))</f>
        <v/>
      </c>
      <c r="R203" s="577" t="str">
        <f>IF(VLOOKUP($A203,'Pre-Assessment Estimator'!$A$10:$Z$228,R$2,FALSE)=0,"",VLOOKUP($A203,'Pre-Assessment Estimator'!$A$10:$Z$228,R$2,FALSE))</f>
        <v/>
      </c>
      <c r="S203" s="578" t="str">
        <f>IF(VLOOKUP($A203,'Pre-Assessment Estimator'!$A$10:$Z$228,S$2,FALSE)=0,"",VLOOKUP($A203,'Pre-Assessment Estimator'!$A$10:$Z$228,S$2,FALSE))</f>
        <v/>
      </c>
      <c r="T203" s="581"/>
      <c r="U203" s="580" t="str">
        <f>IF(VLOOKUP($A203,'Pre-Assessment Estimator'!$A$10:$Z$228,U$2,FALSE)=0,"",VLOOKUP($A203,'Pre-Assessment Estimator'!$A$10:$Z$228,U$2,FALSE))</f>
        <v/>
      </c>
      <c r="V203" s="575">
        <f>VLOOKUP($A203,'Pre-Assessment Estimator'!$A$10:$Z$228,V$2,FALSE)</f>
        <v>0</v>
      </c>
      <c r="W203" s="574" t="str">
        <f>VLOOKUP($A203,'Pre-Assessment Estimator'!$A$10:$Z$228,W$2,FALSE)</f>
        <v>N/A</v>
      </c>
      <c r="X203" s="577" t="str">
        <f>IF(VLOOKUP($A203,'Pre-Assessment Estimator'!$A$10:$Z$228,X$2,FALSE)=0,"",VLOOKUP($A203,'Pre-Assessment Estimator'!$A$10:$Z$228,X$2,FALSE))</f>
        <v/>
      </c>
      <c r="Y203" s="577" t="str">
        <f>IF(VLOOKUP($A203,'Pre-Assessment Estimator'!$A$10:$Z$228,Y$2,FALSE)=0,"",VLOOKUP($A203,'Pre-Assessment Estimator'!$A$10:$Z$228,Y$2,FALSE))</f>
        <v/>
      </c>
      <c r="Z203" s="370" t="str">
        <f>IF(VLOOKUP($A203,'Pre-Assessment Estimator'!$A$10:$Z$228,Z$2,FALSE)=0,"",VLOOKUP($A203,'Pre-Assessment Estimator'!$A$10:$Z$228,Z$2,FALSE))</f>
        <v/>
      </c>
      <c r="AA203" s="696">
        <v>190</v>
      </c>
      <c r="AB203" s="577"/>
      <c r="AF203" s="386">
        <f t="shared" si="3"/>
        <v>1</v>
      </c>
    </row>
    <row r="204" spans="1:32" x14ac:dyDescent="0.25">
      <c r="A204" s="823">
        <v>195</v>
      </c>
      <c r="B204" s="1234" t="s">
        <v>70</v>
      </c>
      <c r="C204" s="1234"/>
      <c r="D204" s="1257" t="str">
        <f>VLOOKUP($A204,'Pre-Assessment Estimator'!$A$10:$Z$228,D$2,FALSE)</f>
        <v>POL 02</v>
      </c>
      <c r="E204" s="1257" t="str">
        <f>VLOOKUP($A204,'Pre-Assessment Estimator'!$A$10:$Z$228,E$2,FALSE)</f>
        <v>Combustion-powered heating and hot water</v>
      </c>
      <c r="F204" s="574">
        <f>VLOOKUP($A204,'Pre-Assessment Estimator'!$A$10:$Z$228,F$2,FALSE)</f>
        <v>0</v>
      </c>
      <c r="G204" s="580" t="str">
        <f>IF(VLOOKUP($A204,'Pre-Assessment Estimator'!$A$10:$Z$228,G$2,FALSE)=0,"",VLOOKUP($A204,'Pre-Assessment Estimator'!$A$10:$Z$228,G$2,FALSE))</f>
        <v/>
      </c>
      <c r="H204" s="1220">
        <f>VLOOKUP($A204,'Pre-Assessment Estimator'!$A$10:$Z$228,H$2,FALSE)</f>
        <v>0</v>
      </c>
      <c r="I204" s="576" t="str">
        <f>VLOOKUP($A204,'Pre-Assessment Estimator'!$A$10:$Z$228,I$2,FALSE)</f>
        <v>N/A</v>
      </c>
      <c r="J204" s="577" t="str">
        <f>IF(VLOOKUP($A204,'Pre-Assessment Estimator'!$A$10:$Z$228,J$2,FALSE)=0,"",VLOOKUP($A204,'Pre-Assessment Estimator'!$A$10:$Z$228,J$2,FALSE))</f>
        <v/>
      </c>
      <c r="K204" s="577" t="str">
        <f>IF(VLOOKUP($A204,'Pre-Assessment Estimator'!$A$10:$Z$228,K$2,FALSE)=0,"",VLOOKUP($A204,'Pre-Assessment Estimator'!$A$10:$Z$228,K$2,FALSE))</f>
        <v/>
      </c>
      <c r="L204" s="578" t="str">
        <f>IF(VLOOKUP($A204,'Pre-Assessment Estimator'!$A$10:$Z$228,L$2,FALSE)=0,"",VLOOKUP($A204,'Pre-Assessment Estimator'!$A$10:$Z$228,L$2,FALSE))</f>
        <v/>
      </c>
      <c r="M204" s="579"/>
      <c r="N204" s="580" t="str">
        <f>IF(VLOOKUP($A204,'Pre-Assessment Estimator'!$A$10:$Z$228,N$2,FALSE)=0,"",VLOOKUP($A204,'Pre-Assessment Estimator'!$A$10:$Z$228,N$2,FALSE))</f>
        <v/>
      </c>
      <c r="O204" s="575">
        <f>VLOOKUP($A204,'Pre-Assessment Estimator'!$A$10:$Z$228,O$2,FALSE)</f>
        <v>0</v>
      </c>
      <c r="P204" s="574" t="str">
        <f>VLOOKUP($A204,'Pre-Assessment Estimator'!$A$10:$Z$228,P$2,FALSE)</f>
        <v>N/A</v>
      </c>
      <c r="Q204" s="577" t="str">
        <f>IF(VLOOKUP($A204,'Pre-Assessment Estimator'!$A$10:$Z$228,Q$2,FALSE)=0,"",VLOOKUP($A204,'Pre-Assessment Estimator'!$A$10:$Z$228,Q$2,FALSE))</f>
        <v/>
      </c>
      <c r="R204" s="577" t="str">
        <f>IF(VLOOKUP($A204,'Pre-Assessment Estimator'!$A$10:$Z$228,R$2,FALSE)=0,"",VLOOKUP($A204,'Pre-Assessment Estimator'!$A$10:$Z$228,R$2,FALSE))</f>
        <v/>
      </c>
      <c r="S204" s="578" t="str">
        <f>IF(VLOOKUP($A204,'Pre-Assessment Estimator'!$A$10:$Z$228,S$2,FALSE)=0,"",VLOOKUP($A204,'Pre-Assessment Estimator'!$A$10:$Z$228,S$2,FALSE))</f>
        <v/>
      </c>
      <c r="T204" s="581"/>
      <c r="U204" s="580" t="str">
        <f>IF(VLOOKUP($A204,'Pre-Assessment Estimator'!$A$10:$Z$228,U$2,FALSE)=0,"",VLOOKUP($A204,'Pre-Assessment Estimator'!$A$10:$Z$228,U$2,FALSE))</f>
        <v/>
      </c>
      <c r="V204" s="575">
        <f>VLOOKUP($A204,'Pre-Assessment Estimator'!$A$10:$Z$228,V$2,FALSE)</f>
        <v>0</v>
      </c>
      <c r="W204" s="574" t="str">
        <f>VLOOKUP($A204,'Pre-Assessment Estimator'!$A$10:$Z$228,W$2,FALSE)</f>
        <v>N/A</v>
      </c>
      <c r="X204" s="577" t="str">
        <f>IF(VLOOKUP($A204,'Pre-Assessment Estimator'!$A$10:$Z$228,X$2,FALSE)=0,"",VLOOKUP($A204,'Pre-Assessment Estimator'!$A$10:$Z$228,X$2,FALSE))</f>
        <v/>
      </c>
      <c r="Y204" s="577" t="str">
        <f>IF(VLOOKUP($A204,'Pre-Assessment Estimator'!$A$10:$Z$228,Y$2,FALSE)=0,"",VLOOKUP($A204,'Pre-Assessment Estimator'!$A$10:$Z$228,Y$2,FALSE))</f>
        <v/>
      </c>
      <c r="Z204" s="370" t="str">
        <f>IF(VLOOKUP($A204,'Pre-Assessment Estimator'!$A$10:$Z$228,Z$2,FALSE)=0,"",VLOOKUP($A204,'Pre-Assessment Estimator'!$A$10:$Z$228,Z$2,FALSE))</f>
        <v/>
      </c>
      <c r="AA204" s="696">
        <v>191</v>
      </c>
      <c r="AB204" s="577"/>
      <c r="AF204" s="386">
        <f t="shared" si="3"/>
        <v>2</v>
      </c>
    </row>
    <row r="205" spans="1:32" x14ac:dyDescent="0.25">
      <c r="A205" s="823">
        <v>196</v>
      </c>
      <c r="B205" s="1234" t="s">
        <v>70</v>
      </c>
      <c r="C205" s="1234"/>
      <c r="D205" s="1256" t="str">
        <f>VLOOKUP($A205,'Pre-Assessment Estimator'!$A$10:$Z$228,D$2,FALSE)</f>
        <v>POL 04</v>
      </c>
      <c r="E205" s="1256" t="str">
        <f>VLOOKUP($A205,'Pre-Assessment Estimator'!$A$10:$Z$228,E$2,FALSE)</f>
        <v>POL 04 Reduction of night time light pollution</v>
      </c>
      <c r="F205" s="574">
        <f>VLOOKUP($A205,'Pre-Assessment Estimator'!$A$10:$Z$228,F$2,FALSE)</f>
        <v>1</v>
      </c>
      <c r="G205" s="580" t="str">
        <f>IF(VLOOKUP($A205,'Pre-Assessment Estimator'!$A$10:$Z$228,G$2,FALSE)=0,"",VLOOKUP($A205,'Pre-Assessment Estimator'!$A$10:$Z$228,G$2,FALSE))</f>
        <v/>
      </c>
      <c r="H205" s="1220" t="str">
        <f>VLOOKUP($A205,'Pre-Assessment Estimator'!$A$10:$Z$228,H$2,FALSE)</f>
        <v>0 c. 0 %</v>
      </c>
      <c r="I205" s="576" t="str">
        <f>VLOOKUP($A205,'Pre-Assessment Estimator'!$A$10:$Z$228,I$2,FALSE)</f>
        <v>N/A</v>
      </c>
      <c r="J205" s="577" t="str">
        <f>IF(VLOOKUP($A205,'Pre-Assessment Estimator'!$A$10:$Z$228,J$2,FALSE)=0,"",VLOOKUP($A205,'Pre-Assessment Estimator'!$A$10:$Z$228,J$2,FALSE))</f>
        <v/>
      </c>
      <c r="K205" s="577" t="str">
        <f>IF(VLOOKUP($A205,'Pre-Assessment Estimator'!$A$10:$Z$228,K$2,FALSE)=0,"",VLOOKUP($A205,'Pre-Assessment Estimator'!$A$10:$Z$228,K$2,FALSE))</f>
        <v/>
      </c>
      <c r="L205" s="578" t="str">
        <f>IF(VLOOKUP($A205,'Pre-Assessment Estimator'!$A$10:$Z$228,L$2,FALSE)=0,"",VLOOKUP($A205,'Pre-Assessment Estimator'!$A$10:$Z$228,L$2,FALSE))</f>
        <v/>
      </c>
      <c r="M205" s="579"/>
      <c r="N205" s="580" t="str">
        <f>IF(VLOOKUP($A205,'Pre-Assessment Estimator'!$A$10:$Z$228,N$2,FALSE)=0,"",VLOOKUP($A205,'Pre-Assessment Estimator'!$A$10:$Z$228,N$2,FALSE))</f>
        <v/>
      </c>
      <c r="O205" s="575" t="str">
        <f>VLOOKUP($A205,'Pre-Assessment Estimator'!$A$10:$Z$228,O$2,FALSE)</f>
        <v>0 c. 0 %</v>
      </c>
      <c r="P205" s="574" t="str">
        <f>VLOOKUP($A205,'Pre-Assessment Estimator'!$A$10:$Z$228,P$2,FALSE)</f>
        <v>N/A</v>
      </c>
      <c r="Q205" s="577" t="str">
        <f>IF(VLOOKUP($A205,'Pre-Assessment Estimator'!$A$10:$Z$228,Q$2,FALSE)=0,"",VLOOKUP($A205,'Pre-Assessment Estimator'!$A$10:$Z$228,Q$2,FALSE))</f>
        <v/>
      </c>
      <c r="R205" s="577" t="str">
        <f>IF(VLOOKUP($A205,'Pre-Assessment Estimator'!$A$10:$Z$228,R$2,FALSE)=0,"",VLOOKUP($A205,'Pre-Assessment Estimator'!$A$10:$Z$228,R$2,FALSE))</f>
        <v/>
      </c>
      <c r="S205" s="578" t="str">
        <f>IF(VLOOKUP($A205,'Pre-Assessment Estimator'!$A$10:$Z$228,S$2,FALSE)=0,"",VLOOKUP($A205,'Pre-Assessment Estimator'!$A$10:$Z$228,S$2,FALSE))</f>
        <v/>
      </c>
      <c r="T205" s="581"/>
      <c r="U205" s="580" t="str">
        <f>IF(VLOOKUP($A205,'Pre-Assessment Estimator'!$A$10:$Z$228,U$2,FALSE)=0,"",VLOOKUP($A205,'Pre-Assessment Estimator'!$A$10:$Z$228,U$2,FALSE))</f>
        <v/>
      </c>
      <c r="V205" s="575" t="str">
        <f>VLOOKUP($A205,'Pre-Assessment Estimator'!$A$10:$Z$228,V$2,FALSE)</f>
        <v>0 c. 0 %</v>
      </c>
      <c r="W205" s="574" t="str">
        <f>VLOOKUP($A205,'Pre-Assessment Estimator'!$A$10:$Z$228,W$2,FALSE)</f>
        <v>N/A</v>
      </c>
      <c r="X205" s="577" t="str">
        <f>IF(VLOOKUP($A205,'Pre-Assessment Estimator'!$A$10:$Z$228,X$2,FALSE)=0,"",VLOOKUP($A205,'Pre-Assessment Estimator'!$A$10:$Z$228,X$2,FALSE))</f>
        <v/>
      </c>
      <c r="Y205" s="577" t="str">
        <f>IF(VLOOKUP($A205,'Pre-Assessment Estimator'!$A$10:$Z$228,Y$2,FALSE)=0,"",VLOOKUP($A205,'Pre-Assessment Estimator'!$A$10:$Z$228,Y$2,FALSE))</f>
        <v/>
      </c>
      <c r="Z205" s="370" t="str">
        <f>IF(VLOOKUP($A205,'Pre-Assessment Estimator'!$A$10:$Z$228,Z$2,FALSE)=0,"",VLOOKUP($A205,'Pre-Assessment Estimator'!$A$10:$Z$228,Z$2,FALSE))</f>
        <v/>
      </c>
      <c r="AA205" s="696">
        <v>192</v>
      </c>
      <c r="AB205" s="577"/>
      <c r="AF205" s="386">
        <f t="shared" si="3"/>
        <v>1</v>
      </c>
    </row>
    <row r="206" spans="1:32" x14ac:dyDescent="0.25">
      <c r="A206" s="823">
        <v>197</v>
      </c>
      <c r="B206" s="1234" t="s">
        <v>70</v>
      </c>
      <c r="C206" s="1234"/>
      <c r="D206" s="1257" t="str">
        <f>VLOOKUP($A206,'Pre-Assessment Estimator'!$A$10:$Z$228,D$2,FALSE)</f>
        <v>POL 04</v>
      </c>
      <c r="E206" s="1257" t="str">
        <f>VLOOKUP($A206,'Pre-Assessment Estimator'!$A$10:$Z$228,E$2,FALSE)</f>
        <v xml:space="preserve">No external lighting pollution </v>
      </c>
      <c r="F206" s="574">
        <f>VLOOKUP($A206,'Pre-Assessment Estimator'!$A$10:$Z$228,F$2,FALSE)</f>
        <v>1</v>
      </c>
      <c r="G206" s="580" t="str">
        <f>IF(VLOOKUP($A206,'Pre-Assessment Estimator'!$A$10:$Z$228,G$2,FALSE)=0,"",VLOOKUP($A206,'Pre-Assessment Estimator'!$A$10:$Z$228,G$2,FALSE))</f>
        <v/>
      </c>
      <c r="H206" s="1220">
        <f>VLOOKUP($A206,'Pre-Assessment Estimator'!$A$10:$Z$228,H$2,FALSE)</f>
        <v>0</v>
      </c>
      <c r="I206" s="576" t="str">
        <f>VLOOKUP($A206,'Pre-Assessment Estimator'!$A$10:$Z$228,I$2,FALSE)</f>
        <v>N/A</v>
      </c>
      <c r="J206" s="577" t="str">
        <f>IF(VLOOKUP($A206,'Pre-Assessment Estimator'!$A$10:$Z$228,J$2,FALSE)=0,"",VLOOKUP($A206,'Pre-Assessment Estimator'!$A$10:$Z$228,J$2,FALSE))</f>
        <v/>
      </c>
      <c r="K206" s="577" t="str">
        <f>IF(VLOOKUP($A206,'Pre-Assessment Estimator'!$A$10:$Z$228,K$2,FALSE)=0,"",VLOOKUP($A206,'Pre-Assessment Estimator'!$A$10:$Z$228,K$2,FALSE))</f>
        <v/>
      </c>
      <c r="L206" s="578" t="str">
        <f>IF(VLOOKUP($A206,'Pre-Assessment Estimator'!$A$10:$Z$228,L$2,FALSE)=0,"",VLOOKUP($A206,'Pre-Assessment Estimator'!$A$10:$Z$228,L$2,FALSE))</f>
        <v/>
      </c>
      <c r="M206" s="579"/>
      <c r="N206" s="580" t="str">
        <f>IF(VLOOKUP($A206,'Pre-Assessment Estimator'!$A$10:$Z$228,N$2,FALSE)=0,"",VLOOKUP($A206,'Pre-Assessment Estimator'!$A$10:$Z$228,N$2,FALSE))</f>
        <v/>
      </c>
      <c r="O206" s="575">
        <f>VLOOKUP($A206,'Pre-Assessment Estimator'!$A$10:$Z$228,O$2,FALSE)</f>
        <v>0</v>
      </c>
      <c r="P206" s="574" t="str">
        <f>VLOOKUP($A206,'Pre-Assessment Estimator'!$A$10:$Z$228,P$2,FALSE)</f>
        <v>N/A</v>
      </c>
      <c r="Q206" s="577" t="str">
        <f>IF(VLOOKUP($A206,'Pre-Assessment Estimator'!$A$10:$Z$228,Q$2,FALSE)=0,"",VLOOKUP($A206,'Pre-Assessment Estimator'!$A$10:$Z$228,Q$2,FALSE))</f>
        <v/>
      </c>
      <c r="R206" s="577" t="str">
        <f>IF(VLOOKUP($A206,'Pre-Assessment Estimator'!$A$10:$Z$228,R$2,FALSE)=0,"",VLOOKUP($A206,'Pre-Assessment Estimator'!$A$10:$Z$228,R$2,FALSE))</f>
        <v/>
      </c>
      <c r="S206" s="578" t="str">
        <f>IF(VLOOKUP($A206,'Pre-Assessment Estimator'!$A$10:$Z$228,S$2,FALSE)=0,"",VLOOKUP($A206,'Pre-Assessment Estimator'!$A$10:$Z$228,S$2,FALSE))</f>
        <v/>
      </c>
      <c r="T206" s="581"/>
      <c r="U206" s="580" t="str">
        <f>IF(VLOOKUP($A206,'Pre-Assessment Estimator'!$A$10:$Z$228,U$2,FALSE)=0,"",VLOOKUP($A206,'Pre-Assessment Estimator'!$A$10:$Z$228,U$2,FALSE))</f>
        <v/>
      </c>
      <c r="V206" s="575">
        <f>VLOOKUP($A206,'Pre-Assessment Estimator'!$A$10:$Z$228,V$2,FALSE)</f>
        <v>0</v>
      </c>
      <c r="W206" s="574" t="str">
        <f>VLOOKUP($A206,'Pre-Assessment Estimator'!$A$10:$Z$228,W$2,FALSE)</f>
        <v>N/A</v>
      </c>
      <c r="X206" s="577" t="str">
        <f>IF(VLOOKUP($A206,'Pre-Assessment Estimator'!$A$10:$Z$228,X$2,FALSE)=0,"",VLOOKUP($A206,'Pre-Assessment Estimator'!$A$10:$Z$228,X$2,FALSE))</f>
        <v/>
      </c>
      <c r="Y206" s="577" t="str">
        <f>IF(VLOOKUP($A206,'Pre-Assessment Estimator'!$A$10:$Z$228,Y$2,FALSE)=0,"",VLOOKUP($A206,'Pre-Assessment Estimator'!$A$10:$Z$228,Y$2,FALSE))</f>
        <v/>
      </c>
      <c r="Z206" s="370" t="str">
        <f>IF(VLOOKUP($A206,'Pre-Assessment Estimator'!$A$10:$Z$228,Z$2,FALSE)=0,"",VLOOKUP($A206,'Pre-Assessment Estimator'!$A$10:$Z$228,Z$2,FALSE))</f>
        <v/>
      </c>
      <c r="AA206" s="696">
        <v>193</v>
      </c>
      <c r="AB206" s="577"/>
      <c r="AF206" s="386">
        <f t="shared" si="3"/>
        <v>1</v>
      </c>
    </row>
    <row r="207" spans="1:32" x14ac:dyDescent="0.25">
      <c r="A207" s="823">
        <v>198</v>
      </c>
      <c r="B207" s="1234" t="s">
        <v>70</v>
      </c>
      <c r="C207" s="1234"/>
      <c r="D207" s="1257" t="str">
        <f>VLOOKUP($A207,'Pre-Assessment Estimator'!$A$10:$Z$228,D$2,FALSE)</f>
        <v>POL 04</v>
      </c>
      <c r="E207" s="1257" t="str">
        <f>VLOOKUP($A207,'Pre-Assessment Estimator'!$A$10:$Z$228,E$2,FALSE)</f>
        <v>Minimizing external light pollution</v>
      </c>
      <c r="F207" s="574">
        <f>VLOOKUP($A207,'Pre-Assessment Estimator'!$A$10:$Z$228,F$2,FALSE)</f>
        <v>0</v>
      </c>
      <c r="G207" s="580" t="str">
        <f>IF(VLOOKUP($A207,'Pre-Assessment Estimator'!$A$10:$Z$228,G$2,FALSE)=0,"",VLOOKUP($A207,'Pre-Assessment Estimator'!$A$10:$Z$228,G$2,FALSE))</f>
        <v/>
      </c>
      <c r="H207" s="1220">
        <f>VLOOKUP($A207,'Pre-Assessment Estimator'!$A$10:$Z$228,H$2,FALSE)</f>
        <v>0</v>
      </c>
      <c r="I207" s="576" t="str">
        <f>VLOOKUP($A207,'Pre-Assessment Estimator'!$A$10:$Z$228,I$2,FALSE)</f>
        <v>N/A</v>
      </c>
      <c r="J207" s="577" t="str">
        <f>IF(VLOOKUP($A207,'Pre-Assessment Estimator'!$A$10:$Z$228,J$2,FALSE)=0,"",VLOOKUP($A207,'Pre-Assessment Estimator'!$A$10:$Z$228,J$2,FALSE))</f>
        <v/>
      </c>
      <c r="K207" s="577" t="str">
        <f>IF(VLOOKUP($A207,'Pre-Assessment Estimator'!$A$10:$Z$228,K$2,FALSE)=0,"",VLOOKUP($A207,'Pre-Assessment Estimator'!$A$10:$Z$228,K$2,FALSE))</f>
        <v/>
      </c>
      <c r="L207" s="578" t="str">
        <f>IF(VLOOKUP($A207,'Pre-Assessment Estimator'!$A$10:$Z$228,L$2,FALSE)=0,"",VLOOKUP($A207,'Pre-Assessment Estimator'!$A$10:$Z$228,L$2,FALSE))</f>
        <v/>
      </c>
      <c r="M207" s="579"/>
      <c r="N207" s="580" t="str">
        <f>IF(VLOOKUP($A207,'Pre-Assessment Estimator'!$A$10:$Z$228,N$2,FALSE)=0,"",VLOOKUP($A207,'Pre-Assessment Estimator'!$A$10:$Z$228,N$2,FALSE))</f>
        <v/>
      </c>
      <c r="O207" s="575">
        <f>VLOOKUP($A207,'Pre-Assessment Estimator'!$A$10:$Z$228,O$2,FALSE)</f>
        <v>0</v>
      </c>
      <c r="P207" s="574" t="str">
        <f>VLOOKUP($A207,'Pre-Assessment Estimator'!$A$10:$Z$228,P$2,FALSE)</f>
        <v>N/A</v>
      </c>
      <c r="Q207" s="577" t="str">
        <f>IF(VLOOKUP($A207,'Pre-Assessment Estimator'!$A$10:$Z$228,Q$2,FALSE)=0,"",VLOOKUP($A207,'Pre-Assessment Estimator'!$A$10:$Z$228,Q$2,FALSE))</f>
        <v/>
      </c>
      <c r="R207" s="577" t="str">
        <f>IF(VLOOKUP($A207,'Pre-Assessment Estimator'!$A$10:$Z$228,R$2,FALSE)=0,"",VLOOKUP($A207,'Pre-Assessment Estimator'!$A$10:$Z$228,R$2,FALSE))</f>
        <v/>
      </c>
      <c r="S207" s="578" t="str">
        <f>IF(VLOOKUP($A207,'Pre-Assessment Estimator'!$A$10:$Z$228,S$2,FALSE)=0,"",VLOOKUP($A207,'Pre-Assessment Estimator'!$A$10:$Z$228,S$2,FALSE))</f>
        <v/>
      </c>
      <c r="T207" s="581"/>
      <c r="U207" s="580" t="str">
        <f>IF(VLOOKUP($A207,'Pre-Assessment Estimator'!$A$10:$Z$228,U$2,FALSE)=0,"",VLOOKUP($A207,'Pre-Assessment Estimator'!$A$10:$Z$228,U$2,FALSE))</f>
        <v/>
      </c>
      <c r="V207" s="575">
        <f>VLOOKUP($A207,'Pre-Assessment Estimator'!$A$10:$Z$228,V$2,FALSE)</f>
        <v>0</v>
      </c>
      <c r="W207" s="574" t="str">
        <f>VLOOKUP($A207,'Pre-Assessment Estimator'!$A$10:$Z$228,W$2,FALSE)</f>
        <v>N/A</v>
      </c>
      <c r="X207" s="577" t="str">
        <f>IF(VLOOKUP($A207,'Pre-Assessment Estimator'!$A$10:$Z$228,X$2,FALSE)=0,"",VLOOKUP($A207,'Pre-Assessment Estimator'!$A$10:$Z$228,X$2,FALSE))</f>
        <v/>
      </c>
      <c r="Y207" s="577" t="str">
        <f>IF(VLOOKUP($A207,'Pre-Assessment Estimator'!$A$10:$Z$228,Y$2,FALSE)=0,"",VLOOKUP($A207,'Pre-Assessment Estimator'!$A$10:$Z$228,Y$2,FALSE))</f>
        <v/>
      </c>
      <c r="Z207" s="370" t="str">
        <f>IF(VLOOKUP($A207,'Pre-Assessment Estimator'!$A$10:$Z$228,Z$2,FALSE)=0,"",VLOOKUP($A207,'Pre-Assessment Estimator'!$A$10:$Z$228,Z$2,FALSE))</f>
        <v/>
      </c>
      <c r="AA207" s="696">
        <v>194</v>
      </c>
      <c r="AB207" s="577"/>
      <c r="AF207" s="386">
        <f t="shared" si="3"/>
        <v>2</v>
      </c>
    </row>
    <row r="208" spans="1:32" x14ac:dyDescent="0.25">
      <c r="A208" s="823">
        <v>199</v>
      </c>
      <c r="B208" s="1234" t="s">
        <v>70</v>
      </c>
      <c r="C208" s="1234"/>
      <c r="D208" s="1256" t="str">
        <f>VLOOKUP($A208,'Pre-Assessment Estimator'!$A$10:$Z$228,D$2,FALSE)</f>
        <v>POL 05</v>
      </c>
      <c r="E208" s="1256" t="str">
        <f>VLOOKUP($A208,'Pre-Assessment Estimator'!$A$10:$Z$228,E$2,FALSE)</f>
        <v>POL 05 Reduction of noise pollution</v>
      </c>
      <c r="F208" s="574">
        <f>VLOOKUP($A208,'Pre-Assessment Estimator'!$A$10:$Z$228,F$2,FALSE)</f>
        <v>1</v>
      </c>
      <c r="G208" s="580" t="str">
        <f>IF(VLOOKUP($A208,'Pre-Assessment Estimator'!$A$10:$Z$228,G$2,FALSE)=0,"",VLOOKUP($A208,'Pre-Assessment Estimator'!$A$10:$Z$228,G$2,FALSE))</f>
        <v/>
      </c>
      <c r="H208" s="1220" t="str">
        <f>VLOOKUP($A208,'Pre-Assessment Estimator'!$A$10:$Z$228,H$2,FALSE)</f>
        <v>0 c. 0 %</v>
      </c>
      <c r="I208" s="576" t="str">
        <f>VLOOKUP($A208,'Pre-Assessment Estimator'!$A$10:$Z$228,I$2,FALSE)</f>
        <v>N/A</v>
      </c>
      <c r="J208" s="577" t="str">
        <f>IF(VLOOKUP($A208,'Pre-Assessment Estimator'!$A$10:$Z$228,J$2,FALSE)=0,"",VLOOKUP($A208,'Pre-Assessment Estimator'!$A$10:$Z$228,J$2,FALSE))</f>
        <v/>
      </c>
      <c r="K208" s="577" t="str">
        <f>IF(VLOOKUP($A208,'Pre-Assessment Estimator'!$A$10:$Z$228,K$2,FALSE)=0,"",VLOOKUP($A208,'Pre-Assessment Estimator'!$A$10:$Z$228,K$2,FALSE))</f>
        <v/>
      </c>
      <c r="L208" s="578" t="str">
        <f>IF(VLOOKUP($A208,'Pre-Assessment Estimator'!$A$10:$Z$228,L$2,FALSE)=0,"",VLOOKUP($A208,'Pre-Assessment Estimator'!$A$10:$Z$228,L$2,FALSE))</f>
        <v/>
      </c>
      <c r="M208" s="579"/>
      <c r="N208" s="580" t="str">
        <f>IF(VLOOKUP($A208,'Pre-Assessment Estimator'!$A$10:$Z$228,N$2,FALSE)=0,"",VLOOKUP($A208,'Pre-Assessment Estimator'!$A$10:$Z$228,N$2,FALSE))</f>
        <v/>
      </c>
      <c r="O208" s="575" t="str">
        <f>VLOOKUP($A208,'Pre-Assessment Estimator'!$A$10:$Z$228,O$2,FALSE)</f>
        <v>0 c. 0 %</v>
      </c>
      <c r="P208" s="574" t="str">
        <f>VLOOKUP($A208,'Pre-Assessment Estimator'!$A$10:$Z$228,P$2,FALSE)</f>
        <v>N/A</v>
      </c>
      <c r="Q208" s="577" t="str">
        <f>IF(VLOOKUP($A208,'Pre-Assessment Estimator'!$A$10:$Z$228,Q$2,FALSE)=0,"",VLOOKUP($A208,'Pre-Assessment Estimator'!$A$10:$Z$228,Q$2,FALSE))</f>
        <v/>
      </c>
      <c r="R208" s="577" t="str">
        <f>IF(VLOOKUP($A208,'Pre-Assessment Estimator'!$A$10:$Z$228,R$2,FALSE)=0,"",VLOOKUP($A208,'Pre-Assessment Estimator'!$A$10:$Z$228,R$2,FALSE))</f>
        <v/>
      </c>
      <c r="S208" s="578" t="str">
        <f>IF(VLOOKUP($A208,'Pre-Assessment Estimator'!$A$10:$Z$228,S$2,FALSE)=0,"",VLOOKUP($A208,'Pre-Assessment Estimator'!$A$10:$Z$228,S$2,FALSE))</f>
        <v/>
      </c>
      <c r="T208" s="581"/>
      <c r="U208" s="580" t="str">
        <f>IF(VLOOKUP($A208,'Pre-Assessment Estimator'!$A$10:$Z$228,U$2,FALSE)=0,"",VLOOKUP($A208,'Pre-Assessment Estimator'!$A$10:$Z$228,U$2,FALSE))</f>
        <v/>
      </c>
      <c r="V208" s="575" t="str">
        <f>VLOOKUP($A208,'Pre-Assessment Estimator'!$A$10:$Z$228,V$2,FALSE)</f>
        <v>0 c. 0 %</v>
      </c>
      <c r="W208" s="574" t="str">
        <f>VLOOKUP($A208,'Pre-Assessment Estimator'!$A$10:$Z$228,W$2,FALSE)</f>
        <v>N/A</v>
      </c>
      <c r="X208" s="577" t="str">
        <f>IF(VLOOKUP($A208,'Pre-Assessment Estimator'!$A$10:$Z$228,X$2,FALSE)=0,"",VLOOKUP($A208,'Pre-Assessment Estimator'!$A$10:$Z$228,X$2,FALSE))</f>
        <v/>
      </c>
      <c r="Y208" s="577" t="str">
        <f>IF(VLOOKUP($A208,'Pre-Assessment Estimator'!$A$10:$Z$228,Y$2,FALSE)=0,"",VLOOKUP($A208,'Pre-Assessment Estimator'!$A$10:$Z$228,Y$2,FALSE))</f>
        <v/>
      </c>
      <c r="Z208" s="370" t="str">
        <f>IF(VLOOKUP($A208,'Pre-Assessment Estimator'!$A$10:$Z$228,Z$2,FALSE)=0,"",VLOOKUP($A208,'Pre-Assessment Estimator'!$A$10:$Z$228,Z$2,FALSE))</f>
        <v/>
      </c>
      <c r="AA208" s="696">
        <v>195</v>
      </c>
      <c r="AB208" s="577" t="str">
        <f>IF(VLOOKUP($A208,'Pre-Assessment Estimator'!$A$10:$AB$228,AB$2,FALSE)=0,"",VLOOKUP($A208,'Pre-Assessment Estimator'!$A$10:$AB$228,AB$2,FALSE))</f>
        <v/>
      </c>
      <c r="AF208" s="386">
        <f t="shared" si="3"/>
        <v>1</v>
      </c>
    </row>
    <row r="209" spans="1:32" x14ac:dyDescent="0.25">
      <c r="A209" s="823">
        <v>200</v>
      </c>
      <c r="B209" s="1234" t="s">
        <v>70</v>
      </c>
      <c r="C209" s="1234"/>
      <c r="D209" s="1257" t="str">
        <f>VLOOKUP($A209,'Pre-Assessment Estimator'!$A$10:$Z$228,D$2,FALSE)</f>
        <v>POL 05</v>
      </c>
      <c r="E209" s="1257" t="str">
        <f>VLOOKUP($A209,'Pre-Assessment Estimator'!$A$10:$Z$228,E$2,FALSE)</f>
        <v>No noise-sensitive areas</v>
      </c>
      <c r="F209" s="574">
        <f>VLOOKUP($A209,'Pre-Assessment Estimator'!$A$10:$Z$228,F$2,FALSE)</f>
        <v>1</v>
      </c>
      <c r="G209" s="580" t="str">
        <f>IF(VLOOKUP($A209,'Pre-Assessment Estimator'!$A$10:$Z$228,G$2,FALSE)=0,"",VLOOKUP($A209,'Pre-Assessment Estimator'!$A$10:$Z$228,G$2,FALSE))</f>
        <v/>
      </c>
      <c r="H209" s="1220">
        <f>VLOOKUP($A209,'Pre-Assessment Estimator'!$A$10:$Z$228,H$2,FALSE)</f>
        <v>0</v>
      </c>
      <c r="I209" s="576" t="str">
        <f>VLOOKUP($A209,'Pre-Assessment Estimator'!$A$10:$Z$228,I$2,FALSE)</f>
        <v>N/A</v>
      </c>
      <c r="J209" s="577" t="str">
        <f>IF(VLOOKUP($A209,'Pre-Assessment Estimator'!$A$10:$Z$228,J$2,FALSE)=0,"",VLOOKUP($A209,'Pre-Assessment Estimator'!$A$10:$Z$228,J$2,FALSE))</f>
        <v/>
      </c>
      <c r="K209" s="577" t="str">
        <f>IF(VLOOKUP($A209,'Pre-Assessment Estimator'!$A$10:$Z$228,K$2,FALSE)=0,"",VLOOKUP($A209,'Pre-Assessment Estimator'!$A$10:$Z$228,K$2,FALSE))</f>
        <v/>
      </c>
      <c r="L209" s="578" t="str">
        <f>IF(VLOOKUP($A209,'Pre-Assessment Estimator'!$A$10:$Z$228,L$2,FALSE)=0,"",VLOOKUP($A209,'Pre-Assessment Estimator'!$A$10:$Z$228,L$2,FALSE))</f>
        <v/>
      </c>
      <c r="M209" s="579"/>
      <c r="N209" s="580" t="str">
        <f>IF(VLOOKUP($A209,'Pre-Assessment Estimator'!$A$10:$Z$228,N$2,FALSE)=0,"",VLOOKUP($A209,'Pre-Assessment Estimator'!$A$10:$Z$228,N$2,FALSE))</f>
        <v/>
      </c>
      <c r="O209" s="575">
        <f>VLOOKUP($A209,'Pre-Assessment Estimator'!$A$10:$Z$228,O$2,FALSE)</f>
        <v>0</v>
      </c>
      <c r="P209" s="574" t="str">
        <f>VLOOKUP($A209,'Pre-Assessment Estimator'!$A$10:$Z$228,P$2,FALSE)</f>
        <v>N/A</v>
      </c>
      <c r="Q209" s="577" t="str">
        <f>IF(VLOOKUP($A209,'Pre-Assessment Estimator'!$A$10:$Z$228,Q$2,FALSE)=0,"",VLOOKUP($A209,'Pre-Assessment Estimator'!$A$10:$Z$228,Q$2,FALSE))</f>
        <v/>
      </c>
      <c r="R209" s="577" t="str">
        <f>IF(VLOOKUP($A209,'Pre-Assessment Estimator'!$A$10:$Z$228,R$2,FALSE)=0,"",VLOOKUP($A209,'Pre-Assessment Estimator'!$A$10:$Z$228,R$2,FALSE))</f>
        <v/>
      </c>
      <c r="S209" s="578" t="str">
        <f>IF(VLOOKUP($A209,'Pre-Assessment Estimator'!$A$10:$Z$228,S$2,FALSE)=0,"",VLOOKUP($A209,'Pre-Assessment Estimator'!$A$10:$Z$228,S$2,FALSE))</f>
        <v/>
      </c>
      <c r="T209" s="581"/>
      <c r="U209" s="580" t="str">
        <f>IF(VLOOKUP($A209,'Pre-Assessment Estimator'!$A$10:$Z$228,U$2,FALSE)=0,"",VLOOKUP($A209,'Pre-Assessment Estimator'!$A$10:$Z$228,U$2,FALSE))</f>
        <v/>
      </c>
      <c r="V209" s="575">
        <f>VLOOKUP($A209,'Pre-Assessment Estimator'!$A$10:$Z$228,V$2,FALSE)</f>
        <v>0</v>
      </c>
      <c r="W209" s="574" t="str">
        <f>VLOOKUP($A209,'Pre-Assessment Estimator'!$A$10:$Z$228,W$2,FALSE)</f>
        <v>N/A</v>
      </c>
      <c r="X209" s="577" t="str">
        <f>IF(VLOOKUP($A209,'Pre-Assessment Estimator'!$A$10:$Z$228,X$2,FALSE)=0,"",VLOOKUP($A209,'Pre-Assessment Estimator'!$A$10:$Z$228,X$2,FALSE))</f>
        <v/>
      </c>
      <c r="Y209" s="577" t="str">
        <f>IF(VLOOKUP($A209,'Pre-Assessment Estimator'!$A$10:$Z$228,Y$2,FALSE)=0,"",VLOOKUP($A209,'Pre-Assessment Estimator'!$A$10:$Z$228,Y$2,FALSE))</f>
        <v/>
      </c>
      <c r="Z209" s="370" t="str">
        <f>IF(VLOOKUP($A209,'Pre-Assessment Estimator'!$A$10:$Z$228,Z$2,FALSE)=0,"",VLOOKUP($A209,'Pre-Assessment Estimator'!$A$10:$Z$228,Z$2,FALSE))</f>
        <v/>
      </c>
      <c r="AA209" s="696">
        <v>196</v>
      </c>
      <c r="AB209" s="585"/>
      <c r="AC209" s="389"/>
      <c r="AD209" s="389"/>
      <c r="AE209" s="389"/>
      <c r="AF209" s="386">
        <f t="shared" si="3"/>
        <v>1</v>
      </c>
    </row>
    <row r="210" spans="1:32" x14ac:dyDescent="0.25">
      <c r="A210" s="823">
        <v>201</v>
      </c>
      <c r="B210" s="1234" t="s">
        <v>216</v>
      </c>
      <c r="C210" s="1234"/>
      <c r="D210" s="1257" t="str">
        <f>VLOOKUP($A210,'Pre-Assessment Estimator'!$A$10:$Z$228,D$2,FALSE)</f>
        <v>POL 05</v>
      </c>
      <c r="E210" s="1257" t="str">
        <f>VLOOKUP($A210,'Pre-Assessment Estimator'!$A$10:$Z$228,E$2,FALSE)</f>
        <v>Minimizing noise pollution in noise-sensitive areas</v>
      </c>
      <c r="F210" s="574">
        <f>VLOOKUP($A210,'Pre-Assessment Estimator'!$A$10:$Z$228,F$2,FALSE)</f>
        <v>0</v>
      </c>
      <c r="G210" s="580" t="str">
        <f>IF(VLOOKUP($A210,'Pre-Assessment Estimator'!$A$10:$Z$228,G$2,FALSE)=0,"",VLOOKUP($A210,'Pre-Assessment Estimator'!$A$10:$Z$228,G$2,FALSE))</f>
        <v/>
      </c>
      <c r="H210" s="1220">
        <f>VLOOKUP($A210,'Pre-Assessment Estimator'!$A$10:$Z$228,H$2,FALSE)</f>
        <v>0</v>
      </c>
      <c r="I210" s="576" t="str">
        <f>VLOOKUP($A210,'Pre-Assessment Estimator'!$A$10:$Z$228,I$2,FALSE)</f>
        <v>N/A</v>
      </c>
      <c r="J210" s="577" t="str">
        <f>IF(VLOOKUP($A210,'Pre-Assessment Estimator'!$A$10:$Z$228,J$2,FALSE)=0,"",VLOOKUP($A210,'Pre-Assessment Estimator'!$A$10:$Z$228,J$2,FALSE))</f>
        <v/>
      </c>
      <c r="K210" s="577" t="str">
        <f>IF(VLOOKUP($A210,'Pre-Assessment Estimator'!$A$10:$Z$228,K$2,FALSE)=0,"",VLOOKUP($A210,'Pre-Assessment Estimator'!$A$10:$Z$228,K$2,FALSE))</f>
        <v/>
      </c>
      <c r="L210" s="578" t="str">
        <f>IF(VLOOKUP($A210,'Pre-Assessment Estimator'!$A$10:$Z$228,L$2,FALSE)=0,"",VLOOKUP($A210,'Pre-Assessment Estimator'!$A$10:$Z$228,L$2,FALSE))</f>
        <v/>
      </c>
      <c r="M210" s="579"/>
      <c r="N210" s="580" t="str">
        <f>IF(VLOOKUP($A210,'Pre-Assessment Estimator'!$A$10:$Z$228,N$2,FALSE)=0,"",VLOOKUP($A210,'Pre-Assessment Estimator'!$A$10:$Z$228,N$2,FALSE))</f>
        <v/>
      </c>
      <c r="O210" s="575">
        <f>VLOOKUP($A210,'Pre-Assessment Estimator'!$A$10:$Z$228,O$2,FALSE)</f>
        <v>0</v>
      </c>
      <c r="P210" s="574" t="str">
        <f>VLOOKUP($A210,'Pre-Assessment Estimator'!$A$10:$Z$228,P$2,FALSE)</f>
        <v>N/A</v>
      </c>
      <c r="Q210" s="577" t="str">
        <f>IF(VLOOKUP($A210,'Pre-Assessment Estimator'!$A$10:$Z$228,Q$2,FALSE)=0,"",VLOOKUP($A210,'Pre-Assessment Estimator'!$A$10:$Z$228,Q$2,FALSE))</f>
        <v/>
      </c>
      <c r="R210" s="577" t="str">
        <f>IF(VLOOKUP($A210,'Pre-Assessment Estimator'!$A$10:$Z$228,R$2,FALSE)=0,"",VLOOKUP($A210,'Pre-Assessment Estimator'!$A$10:$Z$228,R$2,FALSE))</f>
        <v/>
      </c>
      <c r="S210" s="578" t="str">
        <f>IF(VLOOKUP($A210,'Pre-Assessment Estimator'!$A$10:$Z$228,S$2,FALSE)=0,"",VLOOKUP($A210,'Pre-Assessment Estimator'!$A$10:$Z$228,S$2,FALSE))</f>
        <v/>
      </c>
      <c r="T210" s="581"/>
      <c r="U210" s="580" t="str">
        <f>IF(VLOOKUP($A210,'Pre-Assessment Estimator'!$A$10:$Z$228,U$2,FALSE)=0,"",VLOOKUP($A210,'Pre-Assessment Estimator'!$A$10:$Z$228,U$2,FALSE))</f>
        <v/>
      </c>
      <c r="V210" s="575">
        <f>VLOOKUP($A210,'Pre-Assessment Estimator'!$A$10:$Z$228,V$2,FALSE)</f>
        <v>0</v>
      </c>
      <c r="W210" s="574" t="str">
        <f>VLOOKUP($A210,'Pre-Assessment Estimator'!$A$10:$Z$228,W$2,FALSE)</f>
        <v>N/A</v>
      </c>
      <c r="X210" s="577" t="str">
        <f>IF(VLOOKUP($A210,'Pre-Assessment Estimator'!$A$10:$Z$228,X$2,FALSE)=0,"",VLOOKUP($A210,'Pre-Assessment Estimator'!$A$10:$Z$228,X$2,FALSE))</f>
        <v/>
      </c>
      <c r="Y210" s="577" t="str">
        <f>IF(VLOOKUP($A210,'Pre-Assessment Estimator'!$A$10:$Z$228,Y$2,FALSE)=0,"",VLOOKUP($A210,'Pre-Assessment Estimator'!$A$10:$Z$228,Y$2,FALSE))</f>
        <v/>
      </c>
      <c r="Z210" s="370" t="str">
        <f>IF(VLOOKUP($A210,'Pre-Assessment Estimator'!$A$10:$Z$228,Z$2,FALSE)=0,"",VLOOKUP($A210,'Pre-Assessment Estimator'!$A$10:$Z$228,Z$2,FALSE))</f>
        <v/>
      </c>
      <c r="AA210" s="696">
        <v>197</v>
      </c>
      <c r="AB210" s="697"/>
      <c r="AF210" s="386">
        <f t="shared" si="3"/>
        <v>2</v>
      </c>
    </row>
    <row r="211" spans="1:32" ht="30" customHeight="1" thickBot="1" x14ac:dyDescent="0.3">
      <c r="A211" s="823">
        <v>202</v>
      </c>
      <c r="B211" s="1234" t="s">
        <v>216</v>
      </c>
      <c r="C211" s="1234"/>
      <c r="D211" s="1259"/>
      <c r="E211" s="1259" t="str">
        <f>VLOOKUP($A211,'Pre-Assessment Estimator'!$A$10:$Z$228,E$2,FALSE)</f>
        <v>Total performance pollution</v>
      </c>
      <c r="F211" s="582">
        <f>VLOOKUP($A211,'Pre-Assessment Estimator'!$A$10:$Z$228,F$2,FALSE)</f>
        <v>7</v>
      </c>
      <c r="G211" s="584" t="str">
        <f>IF(VLOOKUP($A211,'Pre-Assessment Estimator'!$A$10:$Z$228,G$2,FALSE)=0,"",VLOOKUP($A211,'Pre-Assessment Estimator'!$A$10:$Z$228,G$2,FALSE))</f>
        <v/>
      </c>
      <c r="H211" s="583">
        <f>VLOOKUP($A211,'Pre-Assessment Estimator'!$A$10:$Z$228,H$2,FALSE)</f>
        <v>0</v>
      </c>
      <c r="I211" s="582" t="str">
        <f>VLOOKUP($A211,'Pre-Assessment Estimator'!$A$10:$Z$228,I$2,FALSE)</f>
        <v>Credits achieved: 0</v>
      </c>
      <c r="J211" s="1202" t="str">
        <f>IF(VLOOKUP($A211,'Pre-Assessment Estimator'!$A$10:$Z$228,J$2,FALSE)=0,"",VLOOKUP($A211,'Pre-Assessment Estimator'!$A$10:$Z$228,J$2,FALSE))</f>
        <v/>
      </c>
      <c r="K211" s="1202" t="str">
        <f>IF(VLOOKUP($A211,'Pre-Assessment Estimator'!$A$10:$Z$228,K$2,FALSE)=0,"",VLOOKUP($A211,'Pre-Assessment Estimator'!$A$10:$Z$228,K$2,FALSE))</f>
        <v/>
      </c>
      <c r="L211" s="1221" t="str">
        <f>IF(VLOOKUP($A211,'Pre-Assessment Estimator'!$A$10:$Z$228,L$2,FALSE)=0,"",VLOOKUP($A211,'Pre-Assessment Estimator'!$A$10:$Z$228,L$2,FALSE))</f>
        <v/>
      </c>
      <c r="M211" s="1222"/>
      <c r="N211" s="584" t="str">
        <f>IF(VLOOKUP($A211,'Pre-Assessment Estimator'!$A$10:$Z$228,N$2,FALSE)=0,"",VLOOKUP($A211,'Pre-Assessment Estimator'!$A$10:$Z$228,N$2,FALSE))</f>
        <v/>
      </c>
      <c r="O211" s="583">
        <f>VLOOKUP($A211,'Pre-Assessment Estimator'!$A$10:$Z$228,O$2,FALSE)</f>
        <v>0</v>
      </c>
      <c r="P211" s="582" t="str">
        <f>VLOOKUP($A211,'Pre-Assessment Estimator'!$A$10:$Z$228,P$2,FALSE)</f>
        <v>Credits achieved: 0</v>
      </c>
      <c r="Q211" s="1202" t="str">
        <f>IF(VLOOKUP($A211,'Pre-Assessment Estimator'!$A$10:$Z$228,Q$2,FALSE)=0,"",VLOOKUP($A211,'Pre-Assessment Estimator'!$A$10:$Z$228,Q$2,FALSE))</f>
        <v/>
      </c>
      <c r="R211" s="1202" t="str">
        <f>IF(VLOOKUP($A211,'Pre-Assessment Estimator'!$A$10:$Z$228,R$2,FALSE)=0,"",VLOOKUP($A211,'Pre-Assessment Estimator'!$A$10:$Z$228,R$2,FALSE))</f>
        <v/>
      </c>
      <c r="S211" s="1221" t="str">
        <f>IF(VLOOKUP($A211,'Pre-Assessment Estimator'!$A$10:$Z$228,S$2,FALSE)=0,"",VLOOKUP($A211,'Pre-Assessment Estimator'!$A$10:$Z$228,S$2,FALSE))</f>
        <v/>
      </c>
      <c r="T211" s="1223"/>
      <c r="U211" s="584" t="str">
        <f>IF(VLOOKUP($A211,'Pre-Assessment Estimator'!$A$10:$Z$228,U$2,FALSE)=0,"",VLOOKUP($A211,'Pre-Assessment Estimator'!$A$10:$Z$228,U$2,FALSE))</f>
        <v/>
      </c>
      <c r="V211" s="583">
        <f>VLOOKUP($A211,'Pre-Assessment Estimator'!$A$10:$Z$228,V$2,FALSE)</f>
        <v>0</v>
      </c>
      <c r="W211" s="582" t="str">
        <f>VLOOKUP($A211,'Pre-Assessment Estimator'!$A$10:$Z$228,W$2,FALSE)</f>
        <v>Credits achieved: 0</v>
      </c>
      <c r="X211" s="1202" t="str">
        <f>IF(VLOOKUP($A211,'Pre-Assessment Estimator'!$A$10:$Z$228,X$2,FALSE)=0,"",VLOOKUP($A211,'Pre-Assessment Estimator'!$A$10:$Z$228,X$2,FALSE))</f>
        <v/>
      </c>
      <c r="Y211" s="1202" t="str">
        <f>IF(VLOOKUP($A211,'Pre-Assessment Estimator'!$A$10:$Z$228,Y$2,FALSE)=0,"",VLOOKUP($A211,'Pre-Assessment Estimator'!$A$10:$Z$228,Y$2,FALSE))</f>
        <v/>
      </c>
      <c r="Z211" s="1224" t="str">
        <f>IF(VLOOKUP($A211,'Pre-Assessment Estimator'!$A$10:$Z$228,Z$2,FALSE)=0,"",VLOOKUP($A211,'Pre-Assessment Estimator'!$A$10:$Z$228,Z$2,FALSE))</f>
        <v/>
      </c>
      <c r="AA211" s="696">
        <v>198</v>
      </c>
      <c r="AB211" s="577" t="str">
        <f>IF(VLOOKUP($A211,'Pre-Assessment Estimator'!$A$10:$AB$228,AB$2,FALSE)=0,"",VLOOKUP($A211,'Pre-Assessment Estimator'!$A$10:$AB$228,AB$2,FALSE))</f>
        <v/>
      </c>
      <c r="AF211" s="386">
        <f t="shared" si="3"/>
        <v>1</v>
      </c>
    </row>
    <row r="212" spans="1:32" x14ac:dyDescent="0.25">
      <c r="A212" s="823">
        <v>203</v>
      </c>
      <c r="B212" s="1234" t="s">
        <v>216</v>
      </c>
      <c r="C212" s="1234"/>
      <c r="D212" s="585"/>
      <c r="E212" s="585"/>
      <c r="F212" s="586"/>
      <c r="G212" s="586"/>
      <c r="H212" s="586"/>
      <c r="I212" s="586"/>
      <c r="J212" s="585"/>
      <c r="K212" s="586"/>
      <c r="L212" s="585"/>
      <c r="M212" s="579"/>
      <c r="N212" s="586"/>
      <c r="O212" s="586"/>
      <c r="P212" s="586"/>
      <c r="Q212" s="585"/>
      <c r="R212" s="586"/>
      <c r="S212" s="585"/>
      <c r="T212" s="581"/>
      <c r="U212" s="586"/>
      <c r="V212" s="586"/>
      <c r="W212" s="586"/>
      <c r="X212" s="585"/>
      <c r="Y212" s="586"/>
      <c r="Z212" s="343"/>
      <c r="AA212" s="696">
        <v>199</v>
      </c>
      <c r="AB212" s="577" t="str">
        <f>IF(VLOOKUP($A212,'Pre-Assessment Estimator'!$A$10:$AB$228,AB$2,FALSE)=0,"",VLOOKUP($A212,'Pre-Assessment Estimator'!$A$10:$AB$228,AB$2,FALSE))</f>
        <v/>
      </c>
      <c r="AF212" s="386">
        <f t="shared" si="3"/>
        <v>1</v>
      </c>
    </row>
    <row r="213" spans="1:32" ht="18.75" x14ac:dyDescent="0.25">
      <c r="A213" s="823">
        <v>204</v>
      </c>
      <c r="B213" s="1234" t="s">
        <v>216</v>
      </c>
      <c r="C213" s="1234"/>
      <c r="D213" s="587"/>
      <c r="E213" s="587" t="s">
        <v>394</v>
      </c>
      <c r="F213" s="570"/>
      <c r="G213" s="570"/>
      <c r="H213" s="570"/>
      <c r="I213" s="570"/>
      <c r="J213" s="571"/>
      <c r="K213" s="570"/>
      <c r="L213" s="571"/>
      <c r="M213" s="579"/>
      <c r="N213" s="570"/>
      <c r="O213" s="570"/>
      <c r="P213" s="570"/>
      <c r="Q213" s="571"/>
      <c r="R213" s="570"/>
      <c r="S213" s="571"/>
      <c r="T213" s="581"/>
      <c r="U213" s="570"/>
      <c r="V213" s="570"/>
      <c r="W213" s="570"/>
      <c r="X213" s="571"/>
      <c r="Y213" s="570"/>
      <c r="Z213" s="411"/>
      <c r="AA213" s="696">
        <v>200</v>
      </c>
      <c r="AB213" s="577" t="str">
        <f>IF(VLOOKUP($A213,'Pre-Assessment Estimator'!$A$10:$AB$228,AB$2,FALSE)=0,"",VLOOKUP($A213,'Pre-Assessment Estimator'!$A$10:$AB$228,AB$2,FALSE))</f>
        <v/>
      </c>
      <c r="AF213" s="386">
        <f t="shared" ref="AF213:AF225" si="5">IF(F213="",1,IF(F213=0,2,1))</f>
        <v>1</v>
      </c>
    </row>
    <row r="214" spans="1:32" x14ac:dyDescent="0.25">
      <c r="A214" s="823">
        <v>205</v>
      </c>
      <c r="B214" s="1234" t="s">
        <v>216</v>
      </c>
      <c r="C214" s="1234"/>
      <c r="D214" s="1261" t="str">
        <f>VLOOKUP($A214,'Pre-Assessment Estimator'!$A$10:$Z$228,D$2,FALSE)</f>
        <v>Exemplary Level</v>
      </c>
      <c r="E214" s="1257" t="str">
        <f>VLOOKUP($A214,'Pre-Assessment Estimator'!$A$10:$Z$228,E$2,FALSE)</f>
        <v xml:space="preserve">Inn 01 - Man 03: Reduction of direct emissions from construction sites </v>
      </c>
      <c r="F214" s="574">
        <f>VLOOKUP($A214,'Pre-Assessment Estimator'!$A$10:$Z$228,F$2,FALSE)</f>
        <v>1</v>
      </c>
      <c r="G214" s="580" t="str">
        <f>IF(VLOOKUP($A214,'Pre-Assessment Estimator'!$A$10:$Z$228,G$2,FALSE)=0,"",VLOOKUP($A214,'Pre-Assessment Estimator'!$A$10:$Z$228,G$2,FALSE))</f>
        <v/>
      </c>
      <c r="H214" s="1220">
        <f>VLOOKUP($A214,'Pre-Assessment Estimator'!$A$10:$Z$228,H$2,FALSE)</f>
        <v>0</v>
      </c>
      <c r="I214" s="576" t="str">
        <f>VLOOKUP($A214,'Pre-Assessment Estimator'!$A$10:$Z$228,I$2,FALSE)</f>
        <v>N/A</v>
      </c>
      <c r="J214" s="577" t="str">
        <f>IF(VLOOKUP($A214,'Pre-Assessment Estimator'!$A$10:$Z$228,J$2,FALSE)=0,"",VLOOKUP($A214,'Pre-Assessment Estimator'!$A$10:$Z$228,J$2,FALSE))</f>
        <v/>
      </c>
      <c r="K214" s="577" t="str">
        <f>IF(VLOOKUP($A214,'Pre-Assessment Estimator'!$A$10:$Z$228,K$2,FALSE)=0,"",VLOOKUP($A214,'Pre-Assessment Estimator'!$A$10:$Z$228,K$2,FALSE))</f>
        <v/>
      </c>
      <c r="L214" s="578" t="str">
        <f>IF(VLOOKUP($A214,'Pre-Assessment Estimator'!$A$10:$Z$228,L$2,FALSE)=0,"",VLOOKUP($A214,'Pre-Assessment Estimator'!$A$10:$Z$228,L$2,FALSE))</f>
        <v/>
      </c>
      <c r="M214" s="579"/>
      <c r="N214" s="580" t="str">
        <f>IF(VLOOKUP($A214,'Pre-Assessment Estimator'!$A$10:$Z$228,N$2,FALSE)=0,"",VLOOKUP($A214,'Pre-Assessment Estimator'!$A$10:$Z$228,N$2,FALSE))</f>
        <v/>
      </c>
      <c r="O214" s="575">
        <f>VLOOKUP($A214,'Pre-Assessment Estimator'!$A$10:$Z$228,O$2,FALSE)</f>
        <v>0</v>
      </c>
      <c r="P214" s="574" t="str">
        <f>VLOOKUP($A214,'Pre-Assessment Estimator'!$A$10:$Z$228,P$2,FALSE)</f>
        <v>N/A</v>
      </c>
      <c r="Q214" s="577" t="str">
        <f>IF(VLOOKUP($A214,'Pre-Assessment Estimator'!$A$10:$Z$228,Q$2,FALSE)=0,"",VLOOKUP($A214,'Pre-Assessment Estimator'!$A$10:$Z$228,Q$2,FALSE))</f>
        <v/>
      </c>
      <c r="R214" s="577" t="str">
        <f>IF(VLOOKUP($A214,'Pre-Assessment Estimator'!$A$10:$Z$228,R$2,FALSE)=0,"",VLOOKUP($A214,'Pre-Assessment Estimator'!$A$10:$Z$228,R$2,FALSE))</f>
        <v/>
      </c>
      <c r="S214" s="578" t="str">
        <f>IF(VLOOKUP($A214,'Pre-Assessment Estimator'!$A$10:$Z$228,S$2,FALSE)=0,"",VLOOKUP($A214,'Pre-Assessment Estimator'!$A$10:$Z$228,S$2,FALSE))</f>
        <v/>
      </c>
      <c r="T214" s="581"/>
      <c r="U214" s="580" t="str">
        <f>IF(VLOOKUP($A214,'Pre-Assessment Estimator'!$A$10:$Z$228,U$2,FALSE)=0,"",VLOOKUP($A214,'Pre-Assessment Estimator'!$A$10:$Z$228,U$2,FALSE))</f>
        <v/>
      </c>
      <c r="V214" s="575">
        <f>VLOOKUP($A214,'Pre-Assessment Estimator'!$A$10:$Z$228,V$2,FALSE)</f>
        <v>0</v>
      </c>
      <c r="W214" s="574" t="str">
        <f>VLOOKUP($A214,'Pre-Assessment Estimator'!$A$10:$Z$228,W$2,FALSE)</f>
        <v>N/A</v>
      </c>
      <c r="X214" s="577" t="str">
        <f>IF(VLOOKUP($A214,'Pre-Assessment Estimator'!$A$10:$Z$228,X$2,FALSE)=0,"",VLOOKUP($A214,'Pre-Assessment Estimator'!$A$10:$Z$228,X$2,FALSE))</f>
        <v/>
      </c>
      <c r="Y214" s="577" t="str">
        <f>IF(VLOOKUP($A214,'Pre-Assessment Estimator'!$A$10:$Z$228,Y$2,FALSE)=0,"",VLOOKUP($A214,'Pre-Assessment Estimator'!$A$10:$Z$228,Y$2,FALSE))</f>
        <v/>
      </c>
      <c r="Z214" s="370" t="str">
        <f>IF(VLOOKUP($A214,'Pre-Assessment Estimator'!$A$10:$Z$228,Z$2,FALSE)=0,"",VLOOKUP($A214,'Pre-Assessment Estimator'!$A$10:$Z$228,Z$2,FALSE))</f>
        <v/>
      </c>
      <c r="AA214" s="696">
        <v>201</v>
      </c>
      <c r="AB214" s="577"/>
      <c r="AF214" s="386">
        <f t="shared" si="5"/>
        <v>1</v>
      </c>
    </row>
    <row r="215" spans="1:32" x14ac:dyDescent="0.25">
      <c r="A215" s="823">
        <v>206</v>
      </c>
      <c r="B215" s="1234" t="s">
        <v>216</v>
      </c>
      <c r="C215" s="1234"/>
      <c r="D215" s="1261" t="str">
        <f>VLOOKUP($A215,'Pre-Assessment Estimator'!$A$10:$Z$228,D$2,FALSE)</f>
        <v>Exemplary Level</v>
      </c>
      <c r="E215" s="1257" t="str">
        <f>VLOOKUP($A215,'Pre-Assessment Estimator'!$A$10:$Z$228,E$2,FALSE)</f>
        <v xml:space="preserve">Inn 02 - Hea 01: View out, high level </v>
      </c>
      <c r="F215" s="574">
        <f>VLOOKUP($A215,'Pre-Assessment Estimator'!$A$10:$Z$228,F$2,FALSE)</f>
        <v>1</v>
      </c>
      <c r="G215" s="580" t="str">
        <f>IF(VLOOKUP($A215,'Pre-Assessment Estimator'!$A$10:$Z$228,G$2,FALSE)=0,"",VLOOKUP($A215,'Pre-Assessment Estimator'!$A$10:$Z$228,G$2,FALSE))</f>
        <v/>
      </c>
      <c r="H215" s="1220">
        <f>VLOOKUP($A215,'Pre-Assessment Estimator'!$A$10:$Z$228,H$2,FALSE)</f>
        <v>0</v>
      </c>
      <c r="I215" s="576" t="str">
        <f>VLOOKUP($A215,'Pre-Assessment Estimator'!$A$10:$Z$228,I$2,FALSE)</f>
        <v>N/A</v>
      </c>
      <c r="J215" s="577" t="str">
        <f>IF(VLOOKUP($A215,'Pre-Assessment Estimator'!$A$10:$Z$228,J$2,FALSE)=0,"",VLOOKUP($A215,'Pre-Assessment Estimator'!$A$10:$Z$228,J$2,FALSE))</f>
        <v/>
      </c>
      <c r="K215" s="577" t="str">
        <f>IF(VLOOKUP($A215,'Pre-Assessment Estimator'!$A$10:$Z$228,K$2,FALSE)=0,"",VLOOKUP($A215,'Pre-Assessment Estimator'!$A$10:$Z$228,K$2,FALSE))</f>
        <v/>
      </c>
      <c r="L215" s="578" t="str">
        <f>IF(VLOOKUP($A215,'Pre-Assessment Estimator'!$A$10:$Z$228,L$2,FALSE)=0,"",VLOOKUP($A215,'Pre-Assessment Estimator'!$A$10:$Z$228,L$2,FALSE))</f>
        <v/>
      </c>
      <c r="M215" s="579"/>
      <c r="N215" s="580" t="str">
        <f>IF(VLOOKUP($A215,'Pre-Assessment Estimator'!$A$10:$Z$228,N$2,FALSE)=0,"",VLOOKUP($A215,'Pre-Assessment Estimator'!$A$10:$Z$228,N$2,FALSE))</f>
        <v/>
      </c>
      <c r="O215" s="575">
        <f>VLOOKUP($A215,'Pre-Assessment Estimator'!$A$10:$Z$228,O$2,FALSE)</f>
        <v>0</v>
      </c>
      <c r="P215" s="574" t="str">
        <f>VLOOKUP($A215,'Pre-Assessment Estimator'!$A$10:$Z$228,P$2,FALSE)</f>
        <v>N/A</v>
      </c>
      <c r="Q215" s="577" t="str">
        <f>IF(VLOOKUP($A215,'Pre-Assessment Estimator'!$A$10:$Z$228,Q$2,FALSE)=0,"",VLOOKUP($A215,'Pre-Assessment Estimator'!$A$10:$Z$228,Q$2,FALSE))</f>
        <v/>
      </c>
      <c r="R215" s="577" t="str">
        <f>IF(VLOOKUP($A215,'Pre-Assessment Estimator'!$A$10:$Z$228,R$2,FALSE)=0,"",VLOOKUP($A215,'Pre-Assessment Estimator'!$A$10:$Z$228,R$2,FALSE))</f>
        <v/>
      </c>
      <c r="S215" s="578" t="str">
        <f>IF(VLOOKUP($A215,'Pre-Assessment Estimator'!$A$10:$Z$228,S$2,FALSE)=0,"",VLOOKUP($A215,'Pre-Assessment Estimator'!$A$10:$Z$228,S$2,FALSE))</f>
        <v/>
      </c>
      <c r="T215" s="581"/>
      <c r="U215" s="580" t="str">
        <f>IF(VLOOKUP($A215,'Pre-Assessment Estimator'!$A$10:$Z$228,U$2,FALSE)=0,"",VLOOKUP($A215,'Pre-Assessment Estimator'!$A$10:$Z$228,U$2,FALSE))</f>
        <v/>
      </c>
      <c r="V215" s="575">
        <f>VLOOKUP($A215,'Pre-Assessment Estimator'!$A$10:$Z$228,V$2,FALSE)</f>
        <v>0</v>
      </c>
      <c r="W215" s="574" t="str">
        <f>VLOOKUP($A215,'Pre-Assessment Estimator'!$A$10:$Z$228,W$2,FALSE)</f>
        <v>N/A</v>
      </c>
      <c r="X215" s="577" t="str">
        <f>IF(VLOOKUP($A215,'Pre-Assessment Estimator'!$A$10:$Z$228,X$2,FALSE)=0,"",VLOOKUP($A215,'Pre-Assessment Estimator'!$A$10:$Z$228,X$2,FALSE))</f>
        <v/>
      </c>
      <c r="Y215" s="577" t="str">
        <f>IF(VLOOKUP($A215,'Pre-Assessment Estimator'!$A$10:$Z$228,Y$2,FALSE)=0,"",VLOOKUP($A215,'Pre-Assessment Estimator'!$A$10:$Z$228,Y$2,FALSE))</f>
        <v/>
      </c>
      <c r="Z215" s="370" t="str">
        <f>IF(VLOOKUP($A215,'Pre-Assessment Estimator'!$A$10:$Z$228,Z$2,FALSE)=0,"",VLOOKUP($A215,'Pre-Assessment Estimator'!$A$10:$Z$228,Z$2,FALSE))</f>
        <v/>
      </c>
      <c r="AA215" s="696">
        <v>202</v>
      </c>
      <c r="AB215" s="577"/>
      <c r="AF215" s="386">
        <f t="shared" si="5"/>
        <v>1</v>
      </c>
    </row>
    <row r="216" spans="1:32" x14ac:dyDescent="0.25">
      <c r="A216" s="823">
        <v>207</v>
      </c>
      <c r="B216" s="1234" t="s">
        <v>216</v>
      </c>
      <c r="C216" s="1234"/>
      <c r="D216" s="1261" t="str">
        <f>VLOOKUP($A216,'Pre-Assessment Estimator'!$A$10:$Z$228,D$2,FALSE)</f>
        <v>Exemplary Level</v>
      </c>
      <c r="E216" s="1257" t="str">
        <f>VLOOKUP($A216,'Pre-Assessment Estimator'!$A$10:$Z$228,E$2,FALSE)</f>
        <v>Inn 03 - Hea 02: Emissions from construction products</v>
      </c>
      <c r="F216" s="574">
        <f>VLOOKUP($A216,'Pre-Assessment Estimator'!$A$10:$Z$228,F$2,FALSE)</f>
        <v>1</v>
      </c>
      <c r="G216" s="580" t="str">
        <f>IF(VLOOKUP($A216,'Pre-Assessment Estimator'!$A$10:$Z$228,G$2,FALSE)=0,"",VLOOKUP($A216,'Pre-Assessment Estimator'!$A$10:$Z$228,G$2,FALSE))</f>
        <v/>
      </c>
      <c r="H216" s="1220">
        <f>VLOOKUP($A216,'Pre-Assessment Estimator'!$A$10:$Z$228,H$2,FALSE)</f>
        <v>0</v>
      </c>
      <c r="I216" s="576" t="str">
        <f>VLOOKUP($A216,'Pre-Assessment Estimator'!$A$10:$Z$228,I$2,FALSE)</f>
        <v>N/A</v>
      </c>
      <c r="J216" s="577" t="str">
        <f>IF(VLOOKUP($A216,'Pre-Assessment Estimator'!$A$10:$Z$228,J$2,FALSE)=0,"",VLOOKUP($A216,'Pre-Assessment Estimator'!$A$10:$Z$228,J$2,FALSE))</f>
        <v/>
      </c>
      <c r="K216" s="577" t="str">
        <f>IF(VLOOKUP($A216,'Pre-Assessment Estimator'!$A$10:$Z$228,K$2,FALSE)=0,"",VLOOKUP($A216,'Pre-Assessment Estimator'!$A$10:$Z$228,K$2,FALSE))</f>
        <v/>
      </c>
      <c r="L216" s="578" t="str">
        <f>IF(VLOOKUP($A216,'Pre-Assessment Estimator'!$A$10:$Z$228,L$2,FALSE)=0,"",VLOOKUP($A216,'Pre-Assessment Estimator'!$A$10:$Z$228,L$2,FALSE))</f>
        <v/>
      </c>
      <c r="M216" s="579"/>
      <c r="N216" s="580" t="str">
        <f>IF(VLOOKUP($A216,'Pre-Assessment Estimator'!$A$10:$Z$228,N$2,FALSE)=0,"",VLOOKUP($A216,'Pre-Assessment Estimator'!$A$10:$Z$228,N$2,FALSE))</f>
        <v/>
      </c>
      <c r="O216" s="575">
        <f>VLOOKUP($A216,'Pre-Assessment Estimator'!$A$10:$Z$228,O$2,FALSE)</f>
        <v>0</v>
      </c>
      <c r="P216" s="574" t="str">
        <f>VLOOKUP($A216,'Pre-Assessment Estimator'!$A$10:$Z$228,P$2,FALSE)</f>
        <v>N/A</v>
      </c>
      <c r="Q216" s="577" t="str">
        <f>IF(VLOOKUP($A216,'Pre-Assessment Estimator'!$A$10:$Z$228,Q$2,FALSE)=0,"",VLOOKUP($A216,'Pre-Assessment Estimator'!$A$10:$Z$228,Q$2,FALSE))</f>
        <v/>
      </c>
      <c r="R216" s="577" t="str">
        <f>IF(VLOOKUP($A216,'Pre-Assessment Estimator'!$A$10:$Z$228,R$2,FALSE)=0,"",VLOOKUP($A216,'Pre-Assessment Estimator'!$A$10:$Z$228,R$2,FALSE))</f>
        <v/>
      </c>
      <c r="S216" s="578" t="str">
        <f>IF(VLOOKUP($A216,'Pre-Assessment Estimator'!$A$10:$Z$228,S$2,FALSE)=0,"",VLOOKUP($A216,'Pre-Assessment Estimator'!$A$10:$Z$228,S$2,FALSE))</f>
        <v/>
      </c>
      <c r="T216" s="581"/>
      <c r="U216" s="580" t="str">
        <f>IF(VLOOKUP($A216,'Pre-Assessment Estimator'!$A$10:$Z$228,U$2,FALSE)=0,"",VLOOKUP($A216,'Pre-Assessment Estimator'!$A$10:$Z$228,U$2,FALSE))</f>
        <v/>
      </c>
      <c r="V216" s="575">
        <f>VLOOKUP($A216,'Pre-Assessment Estimator'!$A$10:$Z$228,V$2,FALSE)</f>
        <v>0</v>
      </c>
      <c r="W216" s="574" t="str">
        <f>VLOOKUP($A216,'Pre-Assessment Estimator'!$A$10:$Z$228,W$2,FALSE)</f>
        <v>N/A</v>
      </c>
      <c r="X216" s="577" t="str">
        <f>IF(VLOOKUP($A216,'Pre-Assessment Estimator'!$A$10:$Z$228,X$2,FALSE)=0,"",VLOOKUP($A216,'Pre-Assessment Estimator'!$A$10:$Z$228,X$2,FALSE))</f>
        <v/>
      </c>
      <c r="Y216" s="577" t="str">
        <f>IF(VLOOKUP($A216,'Pre-Assessment Estimator'!$A$10:$Z$228,Y$2,FALSE)=0,"",VLOOKUP($A216,'Pre-Assessment Estimator'!$A$10:$Z$228,Y$2,FALSE))</f>
        <v/>
      </c>
      <c r="Z216" s="370" t="str">
        <f>IF(VLOOKUP($A216,'Pre-Assessment Estimator'!$A$10:$Z$228,Z$2,FALSE)=0,"",VLOOKUP($A216,'Pre-Assessment Estimator'!$A$10:$Z$228,Z$2,FALSE))</f>
        <v/>
      </c>
      <c r="AA216" s="696">
        <v>203</v>
      </c>
      <c r="AB216" s="577"/>
      <c r="AF216" s="386">
        <f t="shared" si="5"/>
        <v>1</v>
      </c>
    </row>
    <row r="217" spans="1:32" x14ac:dyDescent="0.25">
      <c r="A217" s="823">
        <v>208</v>
      </c>
      <c r="B217" s="1234" t="s">
        <v>216</v>
      </c>
      <c r="C217" s="1234"/>
      <c r="D217" s="1261" t="str">
        <f>VLOOKUP($A217,'Pre-Assessment Estimator'!$A$10:$Z$228,D$2,FALSE)</f>
        <v>Exemplary Level</v>
      </c>
      <c r="E217" s="1257" t="str">
        <f>VLOOKUP($A217,'Pre-Assessment Estimator'!$A$10:$Z$228,E$2,FALSE)</f>
        <v xml:space="preserve">Inn 04 - Hea 06: Biofilik design </v>
      </c>
      <c r="F217" s="574">
        <f>VLOOKUP($A217,'Pre-Assessment Estimator'!$A$10:$Z$228,F$2,FALSE)</f>
        <v>1</v>
      </c>
      <c r="G217" s="580" t="str">
        <f>IF(VLOOKUP($A217,'Pre-Assessment Estimator'!$A$10:$Z$228,G$2,FALSE)=0,"",VLOOKUP($A217,'Pre-Assessment Estimator'!$A$10:$Z$228,G$2,FALSE))</f>
        <v/>
      </c>
      <c r="H217" s="1220">
        <f>VLOOKUP($A217,'Pre-Assessment Estimator'!$A$10:$Z$228,H$2,FALSE)</f>
        <v>0</v>
      </c>
      <c r="I217" s="576" t="str">
        <f>VLOOKUP($A217,'Pre-Assessment Estimator'!$A$10:$Z$228,I$2,FALSE)</f>
        <v>N/A</v>
      </c>
      <c r="J217" s="577" t="str">
        <f>IF(VLOOKUP($A217,'Pre-Assessment Estimator'!$A$10:$Z$228,J$2,FALSE)=0,"",VLOOKUP($A217,'Pre-Assessment Estimator'!$A$10:$Z$228,J$2,FALSE))</f>
        <v/>
      </c>
      <c r="K217" s="577" t="str">
        <f>IF(VLOOKUP($A217,'Pre-Assessment Estimator'!$A$10:$Z$228,K$2,FALSE)=0,"",VLOOKUP($A217,'Pre-Assessment Estimator'!$A$10:$Z$228,K$2,FALSE))</f>
        <v/>
      </c>
      <c r="L217" s="578" t="str">
        <f>IF(VLOOKUP($A217,'Pre-Assessment Estimator'!$A$10:$Z$228,L$2,FALSE)=0,"",VLOOKUP($A217,'Pre-Assessment Estimator'!$A$10:$Z$228,L$2,FALSE))</f>
        <v/>
      </c>
      <c r="M217" s="579"/>
      <c r="N217" s="580" t="str">
        <f>IF(VLOOKUP($A217,'Pre-Assessment Estimator'!$A$10:$Z$228,N$2,FALSE)=0,"",VLOOKUP($A217,'Pre-Assessment Estimator'!$A$10:$Z$228,N$2,FALSE))</f>
        <v/>
      </c>
      <c r="O217" s="575">
        <f>VLOOKUP($A217,'Pre-Assessment Estimator'!$A$10:$Z$228,O$2,FALSE)</f>
        <v>0</v>
      </c>
      <c r="P217" s="574" t="str">
        <f>VLOOKUP($A217,'Pre-Assessment Estimator'!$A$10:$Z$228,P$2,FALSE)</f>
        <v>N/A</v>
      </c>
      <c r="Q217" s="577" t="str">
        <f>IF(VLOOKUP($A217,'Pre-Assessment Estimator'!$A$10:$Z$228,Q$2,FALSE)=0,"",VLOOKUP($A217,'Pre-Assessment Estimator'!$A$10:$Z$228,Q$2,FALSE))</f>
        <v/>
      </c>
      <c r="R217" s="577" t="str">
        <f>IF(VLOOKUP($A217,'Pre-Assessment Estimator'!$A$10:$Z$228,R$2,FALSE)=0,"",VLOOKUP($A217,'Pre-Assessment Estimator'!$A$10:$Z$228,R$2,FALSE))</f>
        <v/>
      </c>
      <c r="S217" s="578" t="str">
        <f>IF(VLOOKUP($A217,'Pre-Assessment Estimator'!$A$10:$Z$228,S$2,FALSE)=0,"",VLOOKUP($A217,'Pre-Assessment Estimator'!$A$10:$Z$228,S$2,FALSE))</f>
        <v/>
      </c>
      <c r="T217" s="581"/>
      <c r="U217" s="580" t="str">
        <f>IF(VLOOKUP($A217,'Pre-Assessment Estimator'!$A$10:$Z$228,U$2,FALSE)=0,"",VLOOKUP($A217,'Pre-Assessment Estimator'!$A$10:$Z$228,U$2,FALSE))</f>
        <v/>
      </c>
      <c r="V217" s="575">
        <f>VLOOKUP($A217,'Pre-Assessment Estimator'!$A$10:$Z$228,V$2,FALSE)</f>
        <v>0</v>
      </c>
      <c r="W217" s="574" t="str">
        <f>VLOOKUP($A217,'Pre-Assessment Estimator'!$A$10:$Z$228,W$2,FALSE)</f>
        <v>N/A</v>
      </c>
      <c r="X217" s="577" t="str">
        <f>IF(VLOOKUP($A217,'Pre-Assessment Estimator'!$A$10:$Z$228,X$2,FALSE)=0,"",VLOOKUP($A217,'Pre-Assessment Estimator'!$A$10:$Z$228,X$2,FALSE))</f>
        <v/>
      </c>
      <c r="Y217" s="577" t="str">
        <f>IF(VLOOKUP($A217,'Pre-Assessment Estimator'!$A$10:$Z$228,Y$2,FALSE)=0,"",VLOOKUP($A217,'Pre-Assessment Estimator'!$A$10:$Z$228,Y$2,FALSE))</f>
        <v/>
      </c>
      <c r="Z217" s="370" t="str">
        <f>IF(VLOOKUP($A217,'Pre-Assessment Estimator'!$A$10:$Z$228,Z$2,FALSE)=0,"",VLOOKUP($A217,'Pre-Assessment Estimator'!$A$10:$Z$228,Z$2,FALSE))</f>
        <v/>
      </c>
      <c r="AA217" s="696">
        <v>204</v>
      </c>
      <c r="AB217" s="577"/>
      <c r="AF217" s="386">
        <f t="shared" si="5"/>
        <v>1</v>
      </c>
    </row>
    <row r="218" spans="1:32" x14ac:dyDescent="0.25">
      <c r="A218" s="823">
        <v>209</v>
      </c>
      <c r="B218" s="1234" t="s">
        <v>216</v>
      </c>
      <c r="C218" s="1234"/>
      <c r="D218" s="1261" t="str">
        <f>VLOOKUP($A218,'Pre-Assessment Estimator'!$A$10:$Z$228,D$2,FALSE)</f>
        <v>Exemplary Level</v>
      </c>
      <c r="E218" s="1257" t="str">
        <f>VLOOKUP($A218,'Pre-Assessment Estimator'!$A$10:$Z$228,E$2,FALSE)</f>
        <v xml:space="preserve">Inn 05 - Ene 01: Post-occupancy stage </v>
      </c>
      <c r="F218" s="574">
        <f>VLOOKUP($A218,'Pre-Assessment Estimator'!$A$10:$Z$228,F$2,FALSE)</f>
        <v>2</v>
      </c>
      <c r="G218" s="580" t="str">
        <f>IF(VLOOKUP($A218,'Pre-Assessment Estimator'!$A$10:$Z$228,G$2,FALSE)=0,"",VLOOKUP($A218,'Pre-Assessment Estimator'!$A$10:$Z$228,G$2,FALSE))</f>
        <v/>
      </c>
      <c r="H218" s="1220">
        <f>VLOOKUP($A218,'Pre-Assessment Estimator'!$A$10:$Z$228,H$2,FALSE)</f>
        <v>0</v>
      </c>
      <c r="I218" s="576" t="str">
        <f>VLOOKUP($A218,'Pre-Assessment Estimator'!$A$10:$Z$228,I$2,FALSE)</f>
        <v>N/A</v>
      </c>
      <c r="J218" s="577" t="str">
        <f>IF(VLOOKUP($A218,'Pre-Assessment Estimator'!$A$10:$Z$228,J$2,FALSE)=0,"",VLOOKUP($A218,'Pre-Assessment Estimator'!$A$10:$Z$228,J$2,FALSE))</f>
        <v/>
      </c>
      <c r="K218" s="577" t="str">
        <f>IF(VLOOKUP($A218,'Pre-Assessment Estimator'!$A$10:$Z$228,K$2,FALSE)=0,"",VLOOKUP($A218,'Pre-Assessment Estimator'!$A$10:$Z$228,K$2,FALSE))</f>
        <v/>
      </c>
      <c r="L218" s="578" t="str">
        <f>IF(VLOOKUP($A218,'Pre-Assessment Estimator'!$A$10:$Z$228,L$2,FALSE)=0,"",VLOOKUP($A218,'Pre-Assessment Estimator'!$A$10:$Z$228,L$2,FALSE))</f>
        <v/>
      </c>
      <c r="M218" s="579"/>
      <c r="N218" s="580" t="str">
        <f>IF(VLOOKUP($A218,'Pre-Assessment Estimator'!$A$10:$Z$228,N$2,FALSE)=0,"",VLOOKUP($A218,'Pre-Assessment Estimator'!$A$10:$Z$228,N$2,FALSE))</f>
        <v/>
      </c>
      <c r="O218" s="575">
        <f>VLOOKUP($A218,'Pre-Assessment Estimator'!$A$10:$Z$228,O$2,FALSE)</f>
        <v>0</v>
      </c>
      <c r="P218" s="574" t="str">
        <f>VLOOKUP($A218,'Pre-Assessment Estimator'!$A$10:$Z$228,P$2,FALSE)</f>
        <v>N/A</v>
      </c>
      <c r="Q218" s="577" t="str">
        <f>IF(VLOOKUP($A218,'Pre-Assessment Estimator'!$A$10:$Z$228,Q$2,FALSE)=0,"",VLOOKUP($A218,'Pre-Assessment Estimator'!$A$10:$Z$228,Q$2,FALSE))</f>
        <v/>
      </c>
      <c r="R218" s="577" t="str">
        <f>IF(VLOOKUP($A218,'Pre-Assessment Estimator'!$A$10:$Z$228,R$2,FALSE)=0,"",VLOOKUP($A218,'Pre-Assessment Estimator'!$A$10:$Z$228,R$2,FALSE))</f>
        <v/>
      </c>
      <c r="S218" s="578" t="str">
        <f>IF(VLOOKUP($A218,'Pre-Assessment Estimator'!$A$10:$Z$228,S$2,FALSE)=0,"",VLOOKUP($A218,'Pre-Assessment Estimator'!$A$10:$Z$228,S$2,FALSE))</f>
        <v/>
      </c>
      <c r="T218" s="581"/>
      <c r="U218" s="580" t="str">
        <f>IF(VLOOKUP($A218,'Pre-Assessment Estimator'!$A$10:$Z$228,U$2,FALSE)=0,"",VLOOKUP($A218,'Pre-Assessment Estimator'!$A$10:$Z$228,U$2,FALSE))</f>
        <v/>
      </c>
      <c r="V218" s="575">
        <f>VLOOKUP($A218,'Pre-Assessment Estimator'!$A$10:$Z$228,V$2,FALSE)</f>
        <v>0</v>
      </c>
      <c r="W218" s="574" t="str">
        <f>VLOOKUP($A218,'Pre-Assessment Estimator'!$A$10:$Z$228,W$2,FALSE)</f>
        <v>N/A</v>
      </c>
      <c r="X218" s="577" t="str">
        <f>IF(VLOOKUP($A218,'Pre-Assessment Estimator'!$A$10:$Z$228,X$2,FALSE)=0,"",VLOOKUP($A218,'Pre-Assessment Estimator'!$A$10:$Z$228,X$2,FALSE))</f>
        <v/>
      </c>
      <c r="Y218" s="577" t="str">
        <f>IF(VLOOKUP($A218,'Pre-Assessment Estimator'!$A$10:$Z$228,Y$2,FALSE)=0,"",VLOOKUP($A218,'Pre-Assessment Estimator'!$A$10:$Z$228,Y$2,FALSE))</f>
        <v/>
      </c>
      <c r="Z218" s="370" t="str">
        <f>IF(VLOOKUP($A218,'Pre-Assessment Estimator'!$A$10:$Z$228,Z$2,FALSE)=0,"",VLOOKUP($A218,'Pre-Assessment Estimator'!$A$10:$Z$228,Z$2,FALSE))</f>
        <v/>
      </c>
      <c r="AA218" s="696">
        <v>205</v>
      </c>
      <c r="AB218" s="577"/>
      <c r="AF218" s="386">
        <f t="shared" si="5"/>
        <v>1</v>
      </c>
    </row>
    <row r="219" spans="1:32" x14ac:dyDescent="0.25">
      <c r="A219" s="823">
        <v>210</v>
      </c>
      <c r="B219" s="1234" t="s">
        <v>216</v>
      </c>
      <c r="C219" s="1234"/>
      <c r="D219" s="1261" t="str">
        <f>VLOOKUP($A219,'Pre-Assessment Estimator'!$A$10:$Z$228,D$2,FALSE)</f>
        <v>Exemplary Level</v>
      </c>
      <c r="E219" s="1257" t="str">
        <f>VLOOKUP($A219,'Pre-Assessment Estimator'!$A$10:$Z$228,E$2,FALSE)</f>
        <v xml:space="preserve">Inn 06 - Ene 01: Plus house </v>
      </c>
      <c r="F219" s="574">
        <f>VLOOKUP($A219,'Pre-Assessment Estimator'!$A$10:$Z$228,F$2,FALSE)</f>
        <v>1</v>
      </c>
      <c r="G219" s="580" t="str">
        <f>IF(VLOOKUP($A219,'Pre-Assessment Estimator'!$A$10:$Z$228,G$2,FALSE)=0,"",VLOOKUP($A219,'Pre-Assessment Estimator'!$A$10:$Z$228,G$2,FALSE))</f>
        <v/>
      </c>
      <c r="H219" s="1220">
        <f>VLOOKUP($A219,'Pre-Assessment Estimator'!$A$10:$Z$228,H$2,FALSE)</f>
        <v>0</v>
      </c>
      <c r="I219" s="576" t="str">
        <f>VLOOKUP($A219,'Pre-Assessment Estimator'!$A$10:$Z$228,I$2,FALSE)</f>
        <v>N/A</v>
      </c>
      <c r="J219" s="577" t="str">
        <f>IF(VLOOKUP($A219,'Pre-Assessment Estimator'!$A$10:$Z$228,J$2,FALSE)=0,"",VLOOKUP($A219,'Pre-Assessment Estimator'!$A$10:$Z$228,J$2,FALSE))</f>
        <v/>
      </c>
      <c r="K219" s="577" t="str">
        <f>IF(VLOOKUP($A219,'Pre-Assessment Estimator'!$A$10:$Z$228,K$2,FALSE)=0,"",VLOOKUP($A219,'Pre-Assessment Estimator'!$A$10:$Z$228,K$2,FALSE))</f>
        <v/>
      </c>
      <c r="L219" s="578" t="str">
        <f>IF(VLOOKUP($A219,'Pre-Assessment Estimator'!$A$10:$Z$228,L$2,FALSE)=0,"",VLOOKUP($A219,'Pre-Assessment Estimator'!$A$10:$Z$228,L$2,FALSE))</f>
        <v/>
      </c>
      <c r="M219" s="579"/>
      <c r="N219" s="580" t="str">
        <f>IF(VLOOKUP($A219,'Pre-Assessment Estimator'!$A$10:$Z$228,N$2,FALSE)=0,"",VLOOKUP($A219,'Pre-Assessment Estimator'!$A$10:$Z$228,N$2,FALSE))</f>
        <v/>
      </c>
      <c r="O219" s="575">
        <f>VLOOKUP($A219,'Pre-Assessment Estimator'!$A$10:$Z$228,O$2,FALSE)</f>
        <v>0</v>
      </c>
      <c r="P219" s="574" t="str">
        <f>VLOOKUP($A219,'Pre-Assessment Estimator'!$A$10:$Z$228,P$2,FALSE)</f>
        <v>N/A</v>
      </c>
      <c r="Q219" s="577" t="str">
        <f>IF(VLOOKUP($A219,'Pre-Assessment Estimator'!$A$10:$Z$228,Q$2,FALSE)=0,"",VLOOKUP($A219,'Pre-Assessment Estimator'!$A$10:$Z$228,Q$2,FALSE))</f>
        <v/>
      </c>
      <c r="R219" s="577" t="str">
        <f>IF(VLOOKUP($A219,'Pre-Assessment Estimator'!$A$10:$Z$228,R$2,FALSE)=0,"",VLOOKUP($A219,'Pre-Assessment Estimator'!$A$10:$Z$228,R$2,FALSE))</f>
        <v/>
      </c>
      <c r="S219" s="578" t="str">
        <f>IF(VLOOKUP($A219,'Pre-Assessment Estimator'!$A$10:$Z$228,S$2,FALSE)=0,"",VLOOKUP($A219,'Pre-Assessment Estimator'!$A$10:$Z$228,S$2,FALSE))</f>
        <v/>
      </c>
      <c r="T219" s="581"/>
      <c r="U219" s="580" t="str">
        <f>IF(VLOOKUP($A219,'Pre-Assessment Estimator'!$A$10:$Z$228,U$2,FALSE)=0,"",VLOOKUP($A219,'Pre-Assessment Estimator'!$A$10:$Z$228,U$2,FALSE))</f>
        <v/>
      </c>
      <c r="V219" s="575">
        <f>VLOOKUP($A219,'Pre-Assessment Estimator'!$A$10:$Z$228,V$2,FALSE)</f>
        <v>0</v>
      </c>
      <c r="W219" s="574" t="str">
        <f>VLOOKUP($A219,'Pre-Assessment Estimator'!$A$10:$Z$228,W$2,FALSE)</f>
        <v>N/A</v>
      </c>
      <c r="X219" s="577" t="str">
        <f>IF(VLOOKUP($A219,'Pre-Assessment Estimator'!$A$10:$Z$228,X$2,FALSE)=0,"",VLOOKUP($A219,'Pre-Assessment Estimator'!$A$10:$Z$228,X$2,FALSE))</f>
        <v/>
      </c>
      <c r="Y219" s="577" t="str">
        <f>IF(VLOOKUP($A219,'Pre-Assessment Estimator'!$A$10:$Z$228,Y$2,FALSE)=0,"",VLOOKUP($A219,'Pre-Assessment Estimator'!$A$10:$Z$228,Y$2,FALSE))</f>
        <v/>
      </c>
      <c r="Z219" s="370" t="str">
        <f>IF(VLOOKUP($A219,'Pre-Assessment Estimator'!$A$10:$Z$228,Z$2,FALSE)=0,"",VLOOKUP($A219,'Pre-Assessment Estimator'!$A$10:$Z$228,Z$2,FALSE))</f>
        <v/>
      </c>
      <c r="AA219" s="696">
        <v>206</v>
      </c>
      <c r="AB219" s="577"/>
      <c r="AF219" s="386">
        <f t="shared" si="5"/>
        <v>1</v>
      </c>
    </row>
    <row r="220" spans="1:32" x14ac:dyDescent="0.25">
      <c r="A220" s="823">
        <v>211</v>
      </c>
      <c r="B220" s="1234" t="s">
        <v>216</v>
      </c>
      <c r="C220" s="1234"/>
      <c r="D220" s="1261" t="str">
        <f>VLOOKUP($A220,'Pre-Assessment Estimator'!$A$10:$Z$228,D$2,FALSE)</f>
        <v>Exemplary Level</v>
      </c>
      <c r="E220" s="1257" t="str">
        <f>VLOOKUP($A220,'Pre-Assessment Estimator'!$A$10:$Z$228,E$2,FALSE)</f>
        <v>Inn 07 - Wat 01: Highly water efficient components</v>
      </c>
      <c r="F220" s="574">
        <f>VLOOKUP($A220,'Pre-Assessment Estimator'!$A$10:$Z$228,F$2,FALSE)</f>
        <v>1</v>
      </c>
      <c r="G220" s="580" t="str">
        <f>IF(VLOOKUP($A220,'Pre-Assessment Estimator'!$A$10:$Z$228,G$2,FALSE)=0,"",VLOOKUP($A220,'Pre-Assessment Estimator'!$A$10:$Z$228,G$2,FALSE))</f>
        <v/>
      </c>
      <c r="H220" s="1220">
        <f>VLOOKUP($A220,'Pre-Assessment Estimator'!$A$10:$Z$228,H$2,FALSE)</f>
        <v>0</v>
      </c>
      <c r="I220" s="576" t="str">
        <f>VLOOKUP($A220,'Pre-Assessment Estimator'!$A$10:$Z$228,I$2,FALSE)</f>
        <v>N/A</v>
      </c>
      <c r="J220" s="577" t="str">
        <f>IF(VLOOKUP($A220,'Pre-Assessment Estimator'!$A$10:$Z$228,J$2,FALSE)=0,"",VLOOKUP($A220,'Pre-Assessment Estimator'!$A$10:$Z$228,J$2,FALSE))</f>
        <v/>
      </c>
      <c r="K220" s="577" t="str">
        <f>IF(VLOOKUP($A220,'Pre-Assessment Estimator'!$A$10:$Z$228,K$2,FALSE)=0,"",VLOOKUP($A220,'Pre-Assessment Estimator'!$A$10:$Z$228,K$2,FALSE))</f>
        <v/>
      </c>
      <c r="L220" s="578" t="str">
        <f>IF(VLOOKUP($A220,'Pre-Assessment Estimator'!$A$10:$Z$228,L$2,FALSE)=0,"",VLOOKUP($A220,'Pre-Assessment Estimator'!$A$10:$Z$228,L$2,FALSE))</f>
        <v/>
      </c>
      <c r="M220" s="579"/>
      <c r="N220" s="580" t="str">
        <f>IF(VLOOKUP($A220,'Pre-Assessment Estimator'!$A$10:$Z$228,N$2,FALSE)=0,"",VLOOKUP($A220,'Pre-Assessment Estimator'!$A$10:$Z$228,N$2,FALSE))</f>
        <v/>
      </c>
      <c r="O220" s="575">
        <f>VLOOKUP($A220,'Pre-Assessment Estimator'!$A$10:$Z$228,O$2,FALSE)</f>
        <v>0</v>
      </c>
      <c r="P220" s="574" t="str">
        <f>VLOOKUP($A220,'Pre-Assessment Estimator'!$A$10:$Z$228,P$2,FALSE)</f>
        <v>N/A</v>
      </c>
      <c r="Q220" s="577" t="str">
        <f>IF(VLOOKUP($A220,'Pre-Assessment Estimator'!$A$10:$Z$228,Q$2,FALSE)=0,"",VLOOKUP($A220,'Pre-Assessment Estimator'!$A$10:$Z$228,Q$2,FALSE))</f>
        <v/>
      </c>
      <c r="R220" s="577" t="str">
        <f>IF(VLOOKUP($A220,'Pre-Assessment Estimator'!$A$10:$Z$228,R$2,FALSE)=0,"",VLOOKUP($A220,'Pre-Assessment Estimator'!$A$10:$Z$228,R$2,FALSE))</f>
        <v/>
      </c>
      <c r="S220" s="578" t="str">
        <f>IF(VLOOKUP($A220,'Pre-Assessment Estimator'!$A$10:$Z$228,S$2,FALSE)=0,"",VLOOKUP($A220,'Pre-Assessment Estimator'!$A$10:$Z$228,S$2,FALSE))</f>
        <v/>
      </c>
      <c r="T220" s="581"/>
      <c r="U220" s="580" t="str">
        <f>IF(VLOOKUP($A220,'Pre-Assessment Estimator'!$A$10:$Z$228,U$2,FALSE)=0,"",VLOOKUP($A220,'Pre-Assessment Estimator'!$A$10:$Z$228,U$2,FALSE))</f>
        <v/>
      </c>
      <c r="V220" s="575">
        <f>VLOOKUP($A220,'Pre-Assessment Estimator'!$A$10:$Z$228,V$2,FALSE)</f>
        <v>0</v>
      </c>
      <c r="W220" s="574" t="str">
        <f>VLOOKUP($A220,'Pre-Assessment Estimator'!$A$10:$Z$228,W$2,FALSE)</f>
        <v>N/A</v>
      </c>
      <c r="X220" s="577" t="str">
        <f>IF(VLOOKUP($A220,'Pre-Assessment Estimator'!$A$10:$Z$228,X$2,FALSE)=0,"",VLOOKUP($A220,'Pre-Assessment Estimator'!$A$10:$Z$228,X$2,FALSE))</f>
        <v/>
      </c>
      <c r="Y220" s="577" t="str">
        <f>IF(VLOOKUP($A220,'Pre-Assessment Estimator'!$A$10:$Z$228,Y$2,FALSE)=0,"",VLOOKUP($A220,'Pre-Assessment Estimator'!$A$10:$Z$228,Y$2,FALSE))</f>
        <v/>
      </c>
      <c r="Z220" s="370" t="str">
        <f>IF(VLOOKUP($A220,'Pre-Assessment Estimator'!$A$10:$Z$228,Z$2,FALSE)=0,"",VLOOKUP($A220,'Pre-Assessment Estimator'!$A$10:$Z$228,Z$2,FALSE))</f>
        <v/>
      </c>
      <c r="AA220" s="696">
        <v>207</v>
      </c>
      <c r="AB220" s="577" t="str">
        <f>IF(VLOOKUP($A220,'Pre-Assessment Estimator'!$A$10:$AB$228,AB$2,FALSE)=0,"",VLOOKUP($A220,'Pre-Assessment Estimator'!$A$10:$AB$228,AB$2,FALSE))</f>
        <v/>
      </c>
      <c r="AF220" s="386">
        <f t="shared" si="5"/>
        <v>1</v>
      </c>
    </row>
    <row r="221" spans="1:32" x14ac:dyDescent="0.25">
      <c r="A221" s="823">
        <v>212</v>
      </c>
      <c r="B221" s="1234" t="s">
        <v>216</v>
      </c>
      <c r="C221" s="1234"/>
      <c r="D221" s="1261" t="str">
        <f>VLOOKUP($A221,'Pre-Assessment Estimator'!$A$10:$Z$228,D$2,FALSE)</f>
        <v>Exemplary Level</v>
      </c>
      <c r="E221" s="1257" t="str">
        <f>VLOOKUP($A221,'Pre-Assessment Estimator'!$A$10:$Z$228,E$2,FALSE)</f>
        <v xml:space="preserve">Inn 08 - Mat 01: 60% reduction of greenhouse gas emission </v>
      </c>
      <c r="F221" s="574">
        <f>VLOOKUP($A221,'Pre-Assessment Estimator'!$A$10:$Z$228,F$2,FALSE)</f>
        <v>1</v>
      </c>
      <c r="G221" s="580" t="str">
        <f>IF(VLOOKUP($A221,'Pre-Assessment Estimator'!$A$10:$Z$228,G$2,FALSE)=0,"",VLOOKUP($A221,'Pre-Assessment Estimator'!$A$10:$Z$228,G$2,FALSE))</f>
        <v/>
      </c>
      <c r="H221" s="1220">
        <f>VLOOKUP($A221,'Pre-Assessment Estimator'!$A$10:$Z$228,H$2,FALSE)</f>
        <v>0</v>
      </c>
      <c r="I221" s="576" t="str">
        <f>VLOOKUP($A221,'Pre-Assessment Estimator'!$A$10:$Z$228,I$2,FALSE)</f>
        <v>N/A</v>
      </c>
      <c r="J221" s="577" t="str">
        <f>IF(VLOOKUP($A221,'Pre-Assessment Estimator'!$A$10:$Z$228,J$2,FALSE)=0,"",VLOOKUP($A221,'Pre-Assessment Estimator'!$A$10:$Z$228,J$2,FALSE))</f>
        <v/>
      </c>
      <c r="K221" s="577" t="str">
        <f>IF(VLOOKUP($A221,'Pre-Assessment Estimator'!$A$10:$Z$228,K$2,FALSE)=0,"",VLOOKUP($A221,'Pre-Assessment Estimator'!$A$10:$Z$228,K$2,FALSE))</f>
        <v/>
      </c>
      <c r="L221" s="578" t="str">
        <f>IF(VLOOKUP($A221,'Pre-Assessment Estimator'!$A$10:$Z$228,L$2,FALSE)=0,"",VLOOKUP($A221,'Pre-Assessment Estimator'!$A$10:$Z$228,L$2,FALSE))</f>
        <v/>
      </c>
      <c r="M221" s="579"/>
      <c r="N221" s="580" t="str">
        <f>IF(VLOOKUP($A221,'Pre-Assessment Estimator'!$A$10:$Z$228,N$2,FALSE)=0,"",VLOOKUP($A221,'Pre-Assessment Estimator'!$A$10:$Z$228,N$2,FALSE))</f>
        <v/>
      </c>
      <c r="O221" s="575">
        <f>VLOOKUP($A221,'Pre-Assessment Estimator'!$A$10:$Z$228,O$2,FALSE)</f>
        <v>0</v>
      </c>
      <c r="P221" s="574" t="str">
        <f>VLOOKUP($A221,'Pre-Assessment Estimator'!$A$10:$Z$228,P$2,FALSE)</f>
        <v>N/A</v>
      </c>
      <c r="Q221" s="577" t="str">
        <f>IF(VLOOKUP($A221,'Pre-Assessment Estimator'!$A$10:$Z$228,Q$2,FALSE)=0,"",VLOOKUP($A221,'Pre-Assessment Estimator'!$A$10:$Z$228,Q$2,FALSE))</f>
        <v/>
      </c>
      <c r="R221" s="577" t="str">
        <f>IF(VLOOKUP($A221,'Pre-Assessment Estimator'!$A$10:$Z$228,R$2,FALSE)=0,"",VLOOKUP($A221,'Pre-Assessment Estimator'!$A$10:$Z$228,R$2,FALSE))</f>
        <v/>
      </c>
      <c r="S221" s="578" t="str">
        <f>IF(VLOOKUP($A221,'Pre-Assessment Estimator'!$A$10:$Z$228,S$2,FALSE)=0,"",VLOOKUP($A221,'Pre-Assessment Estimator'!$A$10:$Z$228,S$2,FALSE))</f>
        <v/>
      </c>
      <c r="T221" s="581"/>
      <c r="U221" s="580" t="str">
        <f>IF(VLOOKUP($A221,'Pre-Assessment Estimator'!$A$10:$Z$228,U$2,FALSE)=0,"",VLOOKUP($A221,'Pre-Assessment Estimator'!$A$10:$Z$228,U$2,FALSE))</f>
        <v/>
      </c>
      <c r="V221" s="575">
        <f>VLOOKUP($A221,'Pre-Assessment Estimator'!$A$10:$Z$228,V$2,FALSE)</f>
        <v>0</v>
      </c>
      <c r="W221" s="574" t="str">
        <f>VLOOKUP($A221,'Pre-Assessment Estimator'!$A$10:$Z$228,W$2,FALSE)</f>
        <v>N/A</v>
      </c>
      <c r="X221" s="577" t="str">
        <f>IF(VLOOKUP($A221,'Pre-Assessment Estimator'!$A$10:$Z$228,X$2,FALSE)=0,"",VLOOKUP($A221,'Pre-Assessment Estimator'!$A$10:$Z$228,X$2,FALSE))</f>
        <v/>
      </c>
      <c r="Y221" s="577" t="str">
        <f>IF(VLOOKUP($A221,'Pre-Assessment Estimator'!$A$10:$Z$228,Y$2,FALSE)=0,"",VLOOKUP($A221,'Pre-Assessment Estimator'!$A$10:$Z$228,Y$2,FALSE))</f>
        <v/>
      </c>
      <c r="Z221" s="370" t="str">
        <f>IF(VLOOKUP($A221,'Pre-Assessment Estimator'!$A$10:$Z$228,Z$2,FALSE)=0,"",VLOOKUP($A221,'Pre-Assessment Estimator'!$A$10:$Z$228,Z$2,FALSE))</f>
        <v/>
      </c>
      <c r="AA221" s="696">
        <v>208</v>
      </c>
      <c r="AB221" s="577" t="str">
        <f>IF(VLOOKUP($A221,'Pre-Assessment Estimator'!$A$10:$AB$228,AB$2,FALSE)=0,"",VLOOKUP($A221,'Pre-Assessment Estimator'!$A$10:$AB$228,AB$2,FALSE))</f>
        <v/>
      </c>
      <c r="AF221" s="386">
        <f t="shared" si="5"/>
        <v>1</v>
      </c>
    </row>
    <row r="222" spans="1:32" ht="30" x14ac:dyDescent="0.25">
      <c r="A222" s="823">
        <v>213</v>
      </c>
      <c r="B222" s="1234" t="s">
        <v>216</v>
      </c>
      <c r="C222" s="1234"/>
      <c r="D222" s="1261" t="str">
        <f>VLOOKUP($A222,'Pre-Assessment Estimator'!$A$10:$Z$228,D$2,FALSE)</f>
        <v>Exemplary Level</v>
      </c>
      <c r="E222" s="1257" t="str">
        <f>VLOOKUP($A222,'Pre-Assessment Estimator'!$A$10:$Z$228,E$2,FALSE)</f>
        <v>Inn 09 - Mat 06: FutureBuilt criteria set for circular buildings, point 2.3 reuse of building components</v>
      </c>
      <c r="F222" s="574">
        <f>VLOOKUP($A222,'Pre-Assessment Estimator'!$A$10:$Z$228,F$2,FALSE)</f>
        <v>1</v>
      </c>
      <c r="G222" s="580" t="str">
        <f>IF(VLOOKUP($A222,'Pre-Assessment Estimator'!$A$10:$Z$228,G$2,FALSE)=0,"",VLOOKUP($A222,'Pre-Assessment Estimator'!$A$10:$Z$228,G$2,FALSE))</f>
        <v/>
      </c>
      <c r="H222" s="1220">
        <f>VLOOKUP($A222,'Pre-Assessment Estimator'!$A$10:$Z$228,H$2,FALSE)</f>
        <v>0</v>
      </c>
      <c r="I222" s="576" t="str">
        <f>VLOOKUP($A222,'Pre-Assessment Estimator'!$A$10:$Z$228,I$2,FALSE)</f>
        <v>N/A</v>
      </c>
      <c r="J222" s="577" t="str">
        <f>IF(VLOOKUP($A222,'Pre-Assessment Estimator'!$A$10:$Z$228,J$2,FALSE)=0,"",VLOOKUP($A222,'Pre-Assessment Estimator'!$A$10:$Z$228,J$2,FALSE))</f>
        <v/>
      </c>
      <c r="K222" s="577" t="str">
        <f>IF(VLOOKUP($A222,'Pre-Assessment Estimator'!$A$10:$Z$228,K$2,FALSE)=0,"",VLOOKUP($A222,'Pre-Assessment Estimator'!$A$10:$Z$228,K$2,FALSE))</f>
        <v/>
      </c>
      <c r="L222" s="578" t="str">
        <f>IF(VLOOKUP($A222,'Pre-Assessment Estimator'!$A$10:$Z$228,L$2,FALSE)=0,"",VLOOKUP($A222,'Pre-Assessment Estimator'!$A$10:$Z$228,L$2,FALSE))</f>
        <v/>
      </c>
      <c r="M222" s="579"/>
      <c r="N222" s="580" t="str">
        <f>IF(VLOOKUP($A222,'Pre-Assessment Estimator'!$A$10:$Z$228,N$2,FALSE)=0,"",VLOOKUP($A222,'Pre-Assessment Estimator'!$A$10:$Z$228,N$2,FALSE))</f>
        <v/>
      </c>
      <c r="O222" s="575">
        <f>VLOOKUP($A222,'Pre-Assessment Estimator'!$A$10:$Z$228,O$2,FALSE)</f>
        <v>0</v>
      </c>
      <c r="P222" s="574" t="str">
        <f>VLOOKUP($A222,'Pre-Assessment Estimator'!$A$10:$Z$228,P$2,FALSE)</f>
        <v>N/A</v>
      </c>
      <c r="Q222" s="577" t="str">
        <f>IF(VLOOKUP($A222,'Pre-Assessment Estimator'!$A$10:$Z$228,Q$2,FALSE)=0,"",VLOOKUP($A222,'Pre-Assessment Estimator'!$A$10:$Z$228,Q$2,FALSE))</f>
        <v/>
      </c>
      <c r="R222" s="577" t="str">
        <f>IF(VLOOKUP($A222,'Pre-Assessment Estimator'!$A$10:$Z$228,R$2,FALSE)=0,"",VLOOKUP($A222,'Pre-Assessment Estimator'!$A$10:$Z$228,R$2,FALSE))</f>
        <v/>
      </c>
      <c r="S222" s="578" t="str">
        <f>IF(VLOOKUP($A222,'Pre-Assessment Estimator'!$A$10:$Z$228,S$2,FALSE)=0,"",VLOOKUP($A222,'Pre-Assessment Estimator'!$A$10:$Z$228,S$2,FALSE))</f>
        <v/>
      </c>
      <c r="T222" s="581"/>
      <c r="U222" s="580" t="str">
        <f>IF(VLOOKUP($A222,'Pre-Assessment Estimator'!$A$10:$Z$228,U$2,FALSE)=0,"",VLOOKUP($A222,'Pre-Assessment Estimator'!$A$10:$Z$228,U$2,FALSE))</f>
        <v/>
      </c>
      <c r="V222" s="575">
        <f>VLOOKUP($A222,'Pre-Assessment Estimator'!$A$10:$Z$228,V$2,FALSE)</f>
        <v>0</v>
      </c>
      <c r="W222" s="574" t="str">
        <f>VLOOKUP($A222,'Pre-Assessment Estimator'!$A$10:$Z$228,W$2,FALSE)</f>
        <v>N/A</v>
      </c>
      <c r="X222" s="577" t="str">
        <f>IF(VLOOKUP($A222,'Pre-Assessment Estimator'!$A$10:$Z$228,X$2,FALSE)=0,"",VLOOKUP($A222,'Pre-Assessment Estimator'!$A$10:$Z$228,X$2,FALSE))</f>
        <v/>
      </c>
      <c r="Y222" s="577" t="str">
        <f>IF(VLOOKUP($A222,'Pre-Assessment Estimator'!$A$10:$Z$228,Y$2,FALSE)=0,"",VLOOKUP($A222,'Pre-Assessment Estimator'!$A$10:$Z$228,Y$2,FALSE))</f>
        <v/>
      </c>
      <c r="Z222" s="370" t="str">
        <f>IF(VLOOKUP($A222,'Pre-Assessment Estimator'!$A$10:$Z$228,Z$2,FALSE)=0,"",VLOOKUP($A222,'Pre-Assessment Estimator'!$A$10:$Z$228,Z$2,FALSE))</f>
        <v/>
      </c>
      <c r="AA222" s="696">
        <v>209</v>
      </c>
      <c r="AB222" s="577" t="str">
        <f>IF(VLOOKUP($A222,'Pre-Assessment Estimator'!$A$10:$AB$228,AB$2,FALSE)=0,"",VLOOKUP($A222,'Pre-Assessment Estimator'!$A$10:$AB$228,AB$2,FALSE))</f>
        <v/>
      </c>
      <c r="AF222" s="386">
        <f t="shared" si="5"/>
        <v>1</v>
      </c>
    </row>
    <row r="223" spans="1:32" x14ac:dyDescent="0.25">
      <c r="A223" s="823">
        <v>214</v>
      </c>
      <c r="B223" s="1234" t="s">
        <v>216</v>
      </c>
      <c r="C223" s="1234"/>
      <c r="D223" s="1261" t="str">
        <f>VLOOKUP($A223,'Pre-Assessment Estimator'!$A$10:$Z$228,D$2,FALSE)</f>
        <v>Exemplary Level</v>
      </c>
      <c r="E223" s="1257" t="str">
        <f>VLOOKUP($A223,'Pre-Assessment Estimator'!$A$10:$Z$228,E$2,FALSE)</f>
        <v xml:space="preserve">Inn 10 - Wst 01: Especially low amount of construction waste </v>
      </c>
      <c r="F223" s="574">
        <f>VLOOKUP($A223,'Pre-Assessment Estimator'!$A$10:$Z$228,F$2,FALSE)</f>
        <v>1</v>
      </c>
      <c r="G223" s="580" t="str">
        <f>IF(VLOOKUP($A223,'Pre-Assessment Estimator'!$A$10:$Z$228,G$2,FALSE)=0,"",VLOOKUP($A223,'Pre-Assessment Estimator'!$A$10:$Z$228,G$2,FALSE))</f>
        <v/>
      </c>
      <c r="H223" s="1220">
        <f>VLOOKUP($A223,'Pre-Assessment Estimator'!$A$10:$Z$228,H$2,FALSE)</f>
        <v>0</v>
      </c>
      <c r="I223" s="576" t="str">
        <f>VLOOKUP($A223,'Pre-Assessment Estimator'!$A$10:$Z$228,I$2,FALSE)</f>
        <v>N/A</v>
      </c>
      <c r="J223" s="577" t="str">
        <f>IF(VLOOKUP($A223,'Pre-Assessment Estimator'!$A$10:$Z$228,J$2,FALSE)=0,"",VLOOKUP($A223,'Pre-Assessment Estimator'!$A$10:$Z$228,J$2,FALSE))</f>
        <v/>
      </c>
      <c r="K223" s="577" t="str">
        <f>IF(VLOOKUP($A223,'Pre-Assessment Estimator'!$A$10:$Z$228,K$2,FALSE)=0,"",VLOOKUP($A223,'Pre-Assessment Estimator'!$A$10:$Z$228,K$2,FALSE))</f>
        <v/>
      </c>
      <c r="L223" s="578" t="str">
        <f>IF(VLOOKUP($A223,'Pre-Assessment Estimator'!$A$10:$Z$228,L$2,FALSE)=0,"",VLOOKUP($A223,'Pre-Assessment Estimator'!$A$10:$Z$228,L$2,FALSE))</f>
        <v/>
      </c>
      <c r="M223" s="579"/>
      <c r="N223" s="580" t="str">
        <f>IF(VLOOKUP($A223,'Pre-Assessment Estimator'!$A$10:$Z$228,N$2,FALSE)=0,"",VLOOKUP($A223,'Pre-Assessment Estimator'!$A$10:$Z$228,N$2,FALSE))</f>
        <v/>
      </c>
      <c r="O223" s="575">
        <f>VLOOKUP($A223,'Pre-Assessment Estimator'!$A$10:$Z$228,O$2,FALSE)</f>
        <v>0</v>
      </c>
      <c r="P223" s="574" t="str">
        <f>VLOOKUP($A223,'Pre-Assessment Estimator'!$A$10:$Z$228,P$2,FALSE)</f>
        <v>N/A</v>
      </c>
      <c r="Q223" s="577" t="str">
        <f>IF(VLOOKUP($A223,'Pre-Assessment Estimator'!$A$10:$Z$228,Q$2,FALSE)=0,"",VLOOKUP($A223,'Pre-Assessment Estimator'!$A$10:$Z$228,Q$2,FALSE))</f>
        <v/>
      </c>
      <c r="R223" s="577" t="str">
        <f>IF(VLOOKUP($A223,'Pre-Assessment Estimator'!$A$10:$Z$228,R$2,FALSE)=0,"",VLOOKUP($A223,'Pre-Assessment Estimator'!$A$10:$Z$228,R$2,FALSE))</f>
        <v/>
      </c>
      <c r="S223" s="578" t="str">
        <f>IF(VLOOKUP($A223,'Pre-Assessment Estimator'!$A$10:$Z$228,S$2,FALSE)=0,"",VLOOKUP($A223,'Pre-Assessment Estimator'!$A$10:$Z$228,S$2,FALSE))</f>
        <v/>
      </c>
      <c r="T223" s="581"/>
      <c r="U223" s="580" t="str">
        <f>IF(VLOOKUP($A223,'Pre-Assessment Estimator'!$A$10:$Z$228,U$2,FALSE)=0,"",VLOOKUP($A223,'Pre-Assessment Estimator'!$A$10:$Z$228,U$2,FALSE))</f>
        <v/>
      </c>
      <c r="V223" s="575">
        <f>VLOOKUP($A223,'Pre-Assessment Estimator'!$A$10:$Z$228,V$2,FALSE)</f>
        <v>0</v>
      </c>
      <c r="W223" s="574" t="str">
        <f>VLOOKUP($A223,'Pre-Assessment Estimator'!$A$10:$Z$228,W$2,FALSE)</f>
        <v>N/A</v>
      </c>
      <c r="X223" s="577" t="str">
        <f>IF(VLOOKUP($A223,'Pre-Assessment Estimator'!$A$10:$Z$228,X$2,FALSE)=0,"",VLOOKUP($A223,'Pre-Assessment Estimator'!$A$10:$Z$228,X$2,FALSE))</f>
        <v/>
      </c>
      <c r="Y223" s="577" t="str">
        <f>IF(VLOOKUP($A223,'Pre-Assessment Estimator'!$A$10:$Z$228,Y$2,FALSE)=0,"",VLOOKUP($A223,'Pre-Assessment Estimator'!$A$10:$Z$228,Y$2,FALSE))</f>
        <v/>
      </c>
      <c r="Z223" s="370" t="str">
        <f>IF(VLOOKUP($A223,'Pre-Assessment Estimator'!$A$10:$Z$228,Z$2,FALSE)=0,"",VLOOKUP($A223,'Pre-Assessment Estimator'!$A$10:$Z$228,Z$2,FALSE))</f>
        <v/>
      </c>
      <c r="AA223" s="696">
        <v>210</v>
      </c>
      <c r="AB223" s="577" t="str">
        <f>IF(VLOOKUP($A223,'Pre-Assessment Estimator'!$A$10:$AB$228,AB$2,FALSE)=0,"",VLOOKUP($A223,'Pre-Assessment Estimator'!$A$10:$AB$228,AB$2,FALSE))</f>
        <v/>
      </c>
      <c r="AF223" s="386">
        <f t="shared" si="5"/>
        <v>1</v>
      </c>
    </row>
    <row r="224" spans="1:32" x14ac:dyDescent="0.25">
      <c r="A224" s="823">
        <v>215</v>
      </c>
      <c r="B224" s="1234" t="s">
        <v>216</v>
      </c>
      <c r="C224" s="1234"/>
      <c r="D224" s="1261" t="str">
        <f>VLOOKUP($A224,'Pre-Assessment Estimator'!$A$10:$Z$228,D$2,FALSE)</f>
        <v>Exemplary Level</v>
      </c>
      <c r="E224" s="1257" t="str">
        <f>VLOOKUP($A224,'Pre-Assessment Estimator'!$A$10:$Z$228,E$2,FALSE)</f>
        <v>Inn 11 - LE 02: Wider sustainability for the site</v>
      </c>
      <c r="F224" s="574">
        <f>VLOOKUP($A224,'Pre-Assessment Estimator'!$A$10:$Z$228,F$2,FALSE)</f>
        <v>1</v>
      </c>
      <c r="G224" s="580" t="str">
        <f>IF(VLOOKUP($A224,'Pre-Assessment Estimator'!$A$10:$Z$228,G$2,FALSE)=0,"",VLOOKUP($A224,'Pre-Assessment Estimator'!$A$10:$Z$228,G$2,FALSE))</f>
        <v/>
      </c>
      <c r="H224" s="1220">
        <f>VLOOKUP($A224,'Pre-Assessment Estimator'!$A$10:$Z$228,H$2,FALSE)</f>
        <v>0</v>
      </c>
      <c r="I224" s="576" t="str">
        <f>VLOOKUP($A224,'Pre-Assessment Estimator'!$A$10:$Z$228,I$2,FALSE)</f>
        <v>N/A</v>
      </c>
      <c r="J224" s="577" t="str">
        <f>IF(VLOOKUP($A224,'Pre-Assessment Estimator'!$A$10:$Z$228,J$2,FALSE)=0,"",VLOOKUP($A224,'Pre-Assessment Estimator'!$A$10:$Z$228,J$2,FALSE))</f>
        <v/>
      </c>
      <c r="K224" s="577" t="str">
        <f>IF(VLOOKUP($A224,'Pre-Assessment Estimator'!$A$10:$Z$228,K$2,FALSE)=0,"",VLOOKUP($A224,'Pre-Assessment Estimator'!$A$10:$Z$228,K$2,FALSE))</f>
        <v/>
      </c>
      <c r="L224" s="578" t="str">
        <f>IF(VLOOKUP($A224,'Pre-Assessment Estimator'!$A$10:$Z$228,L$2,FALSE)=0,"",VLOOKUP($A224,'Pre-Assessment Estimator'!$A$10:$Z$228,L$2,FALSE))</f>
        <v/>
      </c>
      <c r="M224" s="579"/>
      <c r="N224" s="580" t="str">
        <f>IF(VLOOKUP($A224,'Pre-Assessment Estimator'!$A$10:$Z$228,N$2,FALSE)=0,"",VLOOKUP($A224,'Pre-Assessment Estimator'!$A$10:$Z$228,N$2,FALSE))</f>
        <v/>
      </c>
      <c r="O224" s="575">
        <f>VLOOKUP($A224,'Pre-Assessment Estimator'!$A$10:$Z$228,O$2,FALSE)</f>
        <v>0</v>
      </c>
      <c r="P224" s="574" t="str">
        <f>VLOOKUP($A224,'Pre-Assessment Estimator'!$A$10:$Z$228,P$2,FALSE)</f>
        <v>N/A</v>
      </c>
      <c r="Q224" s="577" t="str">
        <f>IF(VLOOKUP($A224,'Pre-Assessment Estimator'!$A$10:$Z$228,Q$2,FALSE)=0,"",VLOOKUP($A224,'Pre-Assessment Estimator'!$A$10:$Z$228,Q$2,FALSE))</f>
        <v/>
      </c>
      <c r="R224" s="577" t="str">
        <f>IF(VLOOKUP($A224,'Pre-Assessment Estimator'!$A$10:$Z$228,R$2,FALSE)=0,"",VLOOKUP($A224,'Pre-Assessment Estimator'!$A$10:$Z$228,R$2,FALSE))</f>
        <v/>
      </c>
      <c r="S224" s="578" t="str">
        <f>IF(VLOOKUP($A224,'Pre-Assessment Estimator'!$A$10:$Z$228,S$2,FALSE)=0,"",VLOOKUP($A224,'Pre-Assessment Estimator'!$A$10:$Z$228,S$2,FALSE))</f>
        <v/>
      </c>
      <c r="T224" s="581"/>
      <c r="U224" s="580" t="str">
        <f>IF(VLOOKUP($A224,'Pre-Assessment Estimator'!$A$10:$Z$228,U$2,FALSE)=0,"",VLOOKUP($A224,'Pre-Assessment Estimator'!$A$10:$Z$228,U$2,FALSE))</f>
        <v/>
      </c>
      <c r="V224" s="575">
        <f>VLOOKUP($A224,'Pre-Assessment Estimator'!$A$10:$Z$228,V$2,FALSE)</f>
        <v>0</v>
      </c>
      <c r="W224" s="574" t="str">
        <f>VLOOKUP($A224,'Pre-Assessment Estimator'!$A$10:$Z$228,W$2,FALSE)</f>
        <v>N/A</v>
      </c>
      <c r="X224" s="577" t="str">
        <f>IF(VLOOKUP($A224,'Pre-Assessment Estimator'!$A$10:$Z$228,X$2,FALSE)=0,"",VLOOKUP($A224,'Pre-Assessment Estimator'!$A$10:$Z$228,X$2,FALSE))</f>
        <v/>
      </c>
      <c r="Y224" s="577" t="str">
        <f>IF(VLOOKUP($A224,'Pre-Assessment Estimator'!$A$10:$Z$228,Y$2,FALSE)=0,"",VLOOKUP($A224,'Pre-Assessment Estimator'!$A$10:$Z$228,Y$2,FALSE))</f>
        <v/>
      </c>
      <c r="Z224" s="370" t="str">
        <f>IF(VLOOKUP($A224,'Pre-Assessment Estimator'!$A$10:$Z$228,Z$2,FALSE)=0,"",VLOOKUP($A224,'Pre-Assessment Estimator'!$A$10:$Z$228,Z$2,FALSE))</f>
        <v/>
      </c>
      <c r="AA224" s="696">
        <v>211</v>
      </c>
      <c r="AB224" s="577" t="str">
        <f>IF(VLOOKUP($A224,'Pre-Assessment Estimator'!$A$10:$AB$228,AB$2,FALSE)=0,"",VLOOKUP($A224,'Pre-Assessment Estimator'!$A$10:$AB$228,AB$2,FALSE))</f>
        <v/>
      </c>
      <c r="AF224" s="386">
        <f t="shared" si="5"/>
        <v>1</v>
      </c>
    </row>
    <row r="225" spans="1:44" x14ac:dyDescent="0.25">
      <c r="A225" s="823">
        <v>216</v>
      </c>
      <c r="B225" s="1234" t="s">
        <v>216</v>
      </c>
      <c r="C225" s="1234"/>
      <c r="D225" s="1261" t="str">
        <f>VLOOKUP($A225,'Pre-Assessment Estimator'!$A$10:$Z$228,D$2,FALSE)</f>
        <v>Exemplary Level</v>
      </c>
      <c r="E225" s="1257" t="str">
        <f>VLOOKUP($A225,'Pre-Assessment Estimator'!$A$10:$Z$228,E$2,FALSE)</f>
        <v>Inn 12 - LE 04: Significant net gain of biodiversity</v>
      </c>
      <c r="F225" s="574">
        <f>VLOOKUP($A225,'Pre-Assessment Estimator'!$A$10:$Z$228,F$2,FALSE)</f>
        <v>1</v>
      </c>
      <c r="G225" s="580" t="str">
        <f>IF(VLOOKUP($A225,'Pre-Assessment Estimator'!$A$10:$Z$228,G$2,FALSE)=0,"",VLOOKUP($A225,'Pre-Assessment Estimator'!$A$10:$Z$228,G$2,FALSE))</f>
        <v/>
      </c>
      <c r="H225" s="1220">
        <f>VLOOKUP($A225,'Pre-Assessment Estimator'!$A$10:$Z$228,H$2,FALSE)</f>
        <v>0</v>
      </c>
      <c r="I225" s="576" t="str">
        <f>VLOOKUP($A225,'Pre-Assessment Estimator'!$A$10:$Z$228,I$2,FALSE)</f>
        <v>N/A</v>
      </c>
      <c r="J225" s="577" t="str">
        <f>IF(VLOOKUP($A225,'Pre-Assessment Estimator'!$A$10:$Z$228,J$2,FALSE)=0,"",VLOOKUP($A225,'Pre-Assessment Estimator'!$A$10:$Z$228,J$2,FALSE))</f>
        <v/>
      </c>
      <c r="K225" s="577" t="str">
        <f>IF(VLOOKUP($A225,'Pre-Assessment Estimator'!$A$10:$Z$228,K$2,FALSE)=0,"",VLOOKUP($A225,'Pre-Assessment Estimator'!$A$10:$Z$228,K$2,FALSE))</f>
        <v/>
      </c>
      <c r="L225" s="578" t="str">
        <f>IF(VLOOKUP($A225,'Pre-Assessment Estimator'!$A$10:$Z$228,L$2,FALSE)=0,"",VLOOKUP($A225,'Pre-Assessment Estimator'!$A$10:$Z$228,L$2,FALSE))</f>
        <v/>
      </c>
      <c r="M225" s="579"/>
      <c r="N225" s="580" t="str">
        <f>IF(VLOOKUP($A225,'Pre-Assessment Estimator'!$A$10:$Z$228,N$2,FALSE)=0,"",VLOOKUP($A225,'Pre-Assessment Estimator'!$A$10:$Z$228,N$2,FALSE))</f>
        <v/>
      </c>
      <c r="O225" s="575">
        <f>VLOOKUP($A225,'Pre-Assessment Estimator'!$A$10:$Z$228,O$2,FALSE)</f>
        <v>0</v>
      </c>
      <c r="P225" s="574" t="str">
        <f>VLOOKUP($A225,'Pre-Assessment Estimator'!$A$10:$Z$228,P$2,FALSE)</f>
        <v>N/A</v>
      </c>
      <c r="Q225" s="577" t="str">
        <f>IF(VLOOKUP($A225,'Pre-Assessment Estimator'!$A$10:$Z$228,Q$2,FALSE)=0,"",VLOOKUP($A225,'Pre-Assessment Estimator'!$A$10:$Z$228,Q$2,FALSE))</f>
        <v/>
      </c>
      <c r="R225" s="577" t="str">
        <f>IF(VLOOKUP($A225,'Pre-Assessment Estimator'!$A$10:$Z$228,R$2,FALSE)=0,"",VLOOKUP($A225,'Pre-Assessment Estimator'!$A$10:$Z$228,R$2,FALSE))</f>
        <v/>
      </c>
      <c r="S225" s="578" t="str">
        <f>IF(VLOOKUP($A225,'Pre-Assessment Estimator'!$A$10:$Z$228,S$2,FALSE)=0,"",VLOOKUP($A225,'Pre-Assessment Estimator'!$A$10:$Z$228,S$2,FALSE))</f>
        <v/>
      </c>
      <c r="T225" s="581"/>
      <c r="U225" s="580" t="str">
        <f>IF(VLOOKUP($A225,'Pre-Assessment Estimator'!$A$10:$Z$228,U$2,FALSE)=0,"",VLOOKUP($A225,'Pre-Assessment Estimator'!$A$10:$Z$228,U$2,FALSE))</f>
        <v/>
      </c>
      <c r="V225" s="575">
        <f>VLOOKUP($A225,'Pre-Assessment Estimator'!$A$10:$Z$228,V$2,FALSE)</f>
        <v>0</v>
      </c>
      <c r="W225" s="574" t="str">
        <f>VLOOKUP($A225,'Pre-Assessment Estimator'!$A$10:$Z$228,W$2,FALSE)</f>
        <v>N/A</v>
      </c>
      <c r="X225" s="577" t="str">
        <f>IF(VLOOKUP($A225,'Pre-Assessment Estimator'!$A$10:$Z$228,X$2,FALSE)=0,"",VLOOKUP($A225,'Pre-Assessment Estimator'!$A$10:$Z$228,X$2,FALSE))</f>
        <v/>
      </c>
      <c r="Y225" s="577" t="str">
        <f>IF(VLOOKUP($A225,'Pre-Assessment Estimator'!$A$10:$Z$228,Y$2,FALSE)=0,"",VLOOKUP($A225,'Pre-Assessment Estimator'!$A$10:$Z$228,Y$2,FALSE))</f>
        <v/>
      </c>
      <c r="Z225" s="370" t="str">
        <f>IF(VLOOKUP($A225,'Pre-Assessment Estimator'!$A$10:$Z$228,Z$2,FALSE)=0,"",VLOOKUP($A225,'Pre-Assessment Estimator'!$A$10:$Z$228,Z$2,FALSE))</f>
        <v/>
      </c>
      <c r="AA225" s="696">
        <v>212</v>
      </c>
      <c r="AB225" s="577" t="str">
        <f>IF(VLOOKUP($A225,'Pre-Assessment Estimator'!$A$10:$AB$228,AB$2,FALSE)=0,"",VLOOKUP($A225,'Pre-Assessment Estimator'!$A$10:$AB$228,AB$2,FALSE))</f>
        <v/>
      </c>
      <c r="AF225" s="386">
        <f t="shared" si="5"/>
        <v>1</v>
      </c>
    </row>
    <row r="226" spans="1:44" x14ac:dyDescent="0.25">
      <c r="A226" s="823">
        <v>217</v>
      </c>
      <c r="B226" s="1234" t="s">
        <v>216</v>
      </c>
      <c r="C226" s="1234"/>
      <c r="D226" s="1261" t="str">
        <f>VLOOKUP($A226,'Pre-Assessment Estimator'!$A$10:$Z$228,D$2,FALSE)</f>
        <v>Exemplary Level</v>
      </c>
      <c r="E226" s="1257" t="str">
        <f>VLOOKUP($A226,'Pre-Assessment Estimator'!$A$10:$Z$228,E$2,FALSE)</f>
        <v>Inn 13 - LE 06: Responding to climate change</v>
      </c>
      <c r="F226" s="574">
        <f>VLOOKUP($A226,'Pre-Assessment Estimator'!$A$10:$Z$228,F$2,FALSE)</f>
        <v>1</v>
      </c>
      <c r="G226" s="580" t="str">
        <f>IF(VLOOKUP($A226,'Pre-Assessment Estimator'!$A$10:$Z$228,G$2,FALSE)=0,"",VLOOKUP($A226,'Pre-Assessment Estimator'!$A$10:$Z$228,G$2,FALSE))</f>
        <v/>
      </c>
      <c r="H226" s="1220">
        <f>VLOOKUP($A226,'Pre-Assessment Estimator'!$A$10:$Z$228,H$2,FALSE)</f>
        <v>0</v>
      </c>
      <c r="I226" s="576" t="str">
        <f>VLOOKUP($A226,'Pre-Assessment Estimator'!$A$10:$Z$228,I$2,FALSE)</f>
        <v>N/A</v>
      </c>
      <c r="J226" s="577" t="str">
        <f>IF(VLOOKUP($A226,'Pre-Assessment Estimator'!$A$10:$Z$228,J$2,FALSE)=0,"",VLOOKUP($A226,'Pre-Assessment Estimator'!$A$10:$Z$228,J$2,FALSE))</f>
        <v/>
      </c>
      <c r="K226" s="577" t="str">
        <f>IF(VLOOKUP($A226,'Pre-Assessment Estimator'!$A$10:$Z$228,K$2,FALSE)=0,"",VLOOKUP($A226,'Pre-Assessment Estimator'!$A$10:$Z$228,K$2,FALSE))</f>
        <v/>
      </c>
      <c r="L226" s="578" t="str">
        <f>IF(VLOOKUP($A226,'Pre-Assessment Estimator'!$A$10:$Z$228,L$2,FALSE)=0,"",VLOOKUP($A226,'Pre-Assessment Estimator'!$A$10:$Z$228,L$2,FALSE))</f>
        <v/>
      </c>
      <c r="M226" s="579"/>
      <c r="N226" s="580" t="str">
        <f>IF(VLOOKUP($A226,'Pre-Assessment Estimator'!$A$10:$Z$228,N$2,FALSE)=0,"",VLOOKUP($A226,'Pre-Assessment Estimator'!$A$10:$Z$228,N$2,FALSE))</f>
        <v/>
      </c>
      <c r="O226" s="575">
        <f>VLOOKUP($A226,'Pre-Assessment Estimator'!$A$10:$Z$228,O$2,FALSE)</f>
        <v>0</v>
      </c>
      <c r="P226" s="574" t="str">
        <f>VLOOKUP($A226,'Pre-Assessment Estimator'!$A$10:$Z$228,P$2,FALSE)</f>
        <v>N/A</v>
      </c>
      <c r="Q226" s="577" t="str">
        <f>IF(VLOOKUP($A226,'Pre-Assessment Estimator'!$A$10:$Z$228,Q$2,FALSE)=0,"",VLOOKUP($A226,'Pre-Assessment Estimator'!$A$10:$Z$228,Q$2,FALSE))</f>
        <v/>
      </c>
      <c r="R226" s="577" t="str">
        <f>IF(VLOOKUP($A226,'Pre-Assessment Estimator'!$A$10:$Z$228,R$2,FALSE)=0,"",VLOOKUP($A226,'Pre-Assessment Estimator'!$A$10:$Z$228,R$2,FALSE))</f>
        <v/>
      </c>
      <c r="S226" s="578" t="str">
        <f>IF(VLOOKUP($A226,'Pre-Assessment Estimator'!$A$10:$Z$228,S$2,FALSE)=0,"",VLOOKUP($A226,'Pre-Assessment Estimator'!$A$10:$Z$228,S$2,FALSE))</f>
        <v/>
      </c>
      <c r="T226" s="581"/>
      <c r="U226" s="580" t="str">
        <f>IF(VLOOKUP($A226,'Pre-Assessment Estimator'!$A$10:$Z$228,U$2,FALSE)=0,"",VLOOKUP($A226,'Pre-Assessment Estimator'!$A$10:$Z$228,U$2,FALSE))</f>
        <v/>
      </c>
      <c r="V226" s="575">
        <f>VLOOKUP($A226,'Pre-Assessment Estimator'!$A$10:$Z$228,V$2,FALSE)</f>
        <v>0</v>
      </c>
      <c r="W226" s="574" t="str">
        <f>VLOOKUP($A226,'Pre-Assessment Estimator'!$A$10:$Z$228,W$2,FALSE)</f>
        <v>N/A</v>
      </c>
      <c r="X226" s="577" t="str">
        <f>IF(VLOOKUP($A226,'Pre-Assessment Estimator'!$A$10:$Z$228,X$2,FALSE)=0,"",VLOOKUP($A226,'Pre-Assessment Estimator'!$A$10:$Z$228,X$2,FALSE))</f>
        <v/>
      </c>
      <c r="Y226" s="577" t="str">
        <f>IF(VLOOKUP($A226,'Pre-Assessment Estimator'!$A$10:$Z$228,Y$2,FALSE)=0,"",VLOOKUP($A226,'Pre-Assessment Estimator'!$A$10:$Z$228,Y$2,FALSE))</f>
        <v/>
      </c>
      <c r="Z226" s="370" t="str">
        <f>IF(VLOOKUP($A226,'Pre-Assessment Estimator'!$A$10:$Z$228,Z$2,FALSE)=0,"",VLOOKUP($A226,'Pre-Assessment Estimator'!$A$10:$Z$228,Z$2,FALSE))</f>
        <v/>
      </c>
      <c r="AA226" s="696">
        <v>213</v>
      </c>
      <c r="AB226" s="389"/>
      <c r="AC226" s="389"/>
      <c r="AD226" s="389"/>
      <c r="AE226" s="389"/>
    </row>
    <row r="227" spans="1:44" x14ac:dyDescent="0.25">
      <c r="A227" s="823">
        <v>218</v>
      </c>
      <c r="B227" s="1234" t="s">
        <v>216</v>
      </c>
      <c r="C227" s="1235"/>
      <c r="D227" s="1261" t="str">
        <f>VLOOKUP($A227,'Pre-Assessment Estimator'!$A$10:$Z$228,D$2,FALSE)</f>
        <v>Exemplary Level</v>
      </c>
      <c r="E227" s="1257" t="str">
        <f>VLOOKUP($A227,'Pre-Assessment Estimator'!$A$10:$Z$228,E$2,FALSE)</f>
        <v>Inn 14 - LE 08: Wider approach to surface water management</v>
      </c>
      <c r="F227" s="574">
        <f>VLOOKUP($A227,'Pre-Assessment Estimator'!$A$10:$Z$228,F$2,FALSE)</f>
        <v>1</v>
      </c>
      <c r="G227" s="580" t="str">
        <f>IF(VLOOKUP($A227,'Pre-Assessment Estimator'!$A$10:$Z$228,G$2,FALSE)=0,"",VLOOKUP($A227,'Pre-Assessment Estimator'!$A$10:$Z$228,G$2,FALSE))</f>
        <v/>
      </c>
      <c r="H227" s="1220">
        <f>VLOOKUP($A227,'Pre-Assessment Estimator'!$A$10:$Z$228,H$2,FALSE)</f>
        <v>0</v>
      </c>
      <c r="I227" s="576" t="str">
        <f>VLOOKUP($A227,'Pre-Assessment Estimator'!$A$10:$Z$228,I$2,FALSE)</f>
        <v>N/A</v>
      </c>
      <c r="J227" s="577" t="str">
        <f>IF(VLOOKUP($A227,'Pre-Assessment Estimator'!$A$10:$Z$228,J$2,FALSE)=0,"",VLOOKUP($A227,'Pre-Assessment Estimator'!$A$10:$Z$228,J$2,FALSE))</f>
        <v/>
      </c>
      <c r="K227" s="577" t="str">
        <f>IF(VLOOKUP($A227,'Pre-Assessment Estimator'!$A$10:$Z$228,K$2,FALSE)=0,"",VLOOKUP($A227,'Pre-Assessment Estimator'!$A$10:$Z$228,K$2,FALSE))</f>
        <v/>
      </c>
      <c r="L227" s="578" t="str">
        <f>IF(VLOOKUP($A227,'Pre-Assessment Estimator'!$A$10:$Z$228,L$2,FALSE)=0,"",VLOOKUP($A227,'Pre-Assessment Estimator'!$A$10:$Z$228,L$2,FALSE))</f>
        <v/>
      </c>
      <c r="M227" s="579"/>
      <c r="N227" s="580" t="str">
        <f>IF(VLOOKUP($A227,'Pre-Assessment Estimator'!$A$10:$Z$228,N$2,FALSE)=0,"",VLOOKUP($A227,'Pre-Assessment Estimator'!$A$10:$Z$228,N$2,FALSE))</f>
        <v/>
      </c>
      <c r="O227" s="575">
        <f>VLOOKUP($A227,'Pre-Assessment Estimator'!$A$10:$Z$228,O$2,FALSE)</f>
        <v>0</v>
      </c>
      <c r="P227" s="574" t="str">
        <f>VLOOKUP($A227,'Pre-Assessment Estimator'!$A$10:$Z$228,P$2,FALSE)</f>
        <v>N/A</v>
      </c>
      <c r="Q227" s="577" t="str">
        <f>IF(VLOOKUP($A227,'Pre-Assessment Estimator'!$A$10:$Z$228,Q$2,FALSE)=0,"",VLOOKUP($A227,'Pre-Assessment Estimator'!$A$10:$Z$228,Q$2,FALSE))</f>
        <v/>
      </c>
      <c r="R227" s="577" t="str">
        <f>IF(VLOOKUP($A227,'Pre-Assessment Estimator'!$A$10:$Z$228,R$2,FALSE)=0,"",VLOOKUP($A227,'Pre-Assessment Estimator'!$A$10:$Z$228,R$2,FALSE))</f>
        <v/>
      </c>
      <c r="S227" s="578" t="str">
        <f>IF(VLOOKUP($A227,'Pre-Assessment Estimator'!$A$10:$Z$228,S$2,FALSE)=0,"",VLOOKUP($A227,'Pre-Assessment Estimator'!$A$10:$Z$228,S$2,FALSE))</f>
        <v/>
      </c>
      <c r="T227" s="581"/>
      <c r="U227" s="580" t="str">
        <f>IF(VLOOKUP($A227,'Pre-Assessment Estimator'!$A$10:$Z$228,U$2,FALSE)=0,"",VLOOKUP($A227,'Pre-Assessment Estimator'!$A$10:$Z$228,U$2,FALSE))</f>
        <v/>
      </c>
      <c r="V227" s="575">
        <f>VLOOKUP($A227,'Pre-Assessment Estimator'!$A$10:$Z$228,V$2,FALSE)</f>
        <v>0</v>
      </c>
      <c r="W227" s="574" t="str">
        <f>VLOOKUP($A227,'Pre-Assessment Estimator'!$A$10:$Z$228,W$2,FALSE)</f>
        <v>N/A</v>
      </c>
      <c r="X227" s="577" t="str">
        <f>IF(VLOOKUP($A227,'Pre-Assessment Estimator'!$A$10:$Z$228,X$2,FALSE)=0,"",VLOOKUP($A227,'Pre-Assessment Estimator'!$A$10:$Z$228,X$2,FALSE))</f>
        <v/>
      </c>
      <c r="Y227" s="577" t="str">
        <f>IF(VLOOKUP($A227,'Pre-Assessment Estimator'!$A$10:$Z$228,Y$2,FALSE)=0,"",VLOOKUP($A227,'Pre-Assessment Estimator'!$A$10:$Z$228,Y$2,FALSE))</f>
        <v/>
      </c>
      <c r="Z227" s="370" t="str">
        <f>IF(VLOOKUP($A227,'Pre-Assessment Estimator'!$A$10:$Z$228,Z$2,FALSE)=0,"",VLOOKUP($A227,'Pre-Assessment Estimator'!$A$10:$Z$228,Z$2,FALSE))</f>
        <v/>
      </c>
      <c r="AA227" s="696">
        <v>214</v>
      </c>
    </row>
    <row r="228" spans="1:44" ht="30" customHeight="1" thickBot="1" x14ac:dyDescent="0.3">
      <c r="A228" s="823">
        <v>219</v>
      </c>
      <c r="B228" s="1234" t="s">
        <v>216</v>
      </c>
      <c r="C228" s="1235"/>
      <c r="D228" s="1259"/>
      <c r="E228" s="1259" t="str">
        <f>VLOOKUP($A228,'Pre-Assessment Estimator'!$A$10:$Z$228,E$2,FALSE)</f>
        <v>Total indicative environmental section performance</v>
      </c>
      <c r="F228" s="582">
        <f>VLOOKUP($A228,'Pre-Assessment Estimator'!$A$10:$Z$228,F$2,FALSE)</f>
        <v>10</v>
      </c>
      <c r="G228" s="584" t="str">
        <f>IF(VLOOKUP($A228,'Pre-Assessment Estimator'!$A$10:$Z$228,G$2,FALSE)=0,"",VLOOKUP($A228,'Pre-Assessment Estimator'!$A$10:$Z$228,G$2,FALSE))</f>
        <v/>
      </c>
      <c r="H228" s="583">
        <f>VLOOKUP($A228,'Pre-Assessment Estimator'!$A$10:$Z$228,H$2,FALSE)</f>
        <v>0</v>
      </c>
      <c r="I228" s="582" t="str">
        <f>VLOOKUP($A228,'Pre-Assessment Estimator'!$A$10:$Z$228,I$2,FALSE)</f>
        <v>Credits achieved: 0</v>
      </c>
      <c r="J228" s="1202" t="str">
        <f>IF(VLOOKUP($A228,'Pre-Assessment Estimator'!$A$10:$Z$228,J$2,FALSE)=0,"",VLOOKUP($A228,'Pre-Assessment Estimator'!$A$10:$Z$228,J$2,FALSE))</f>
        <v/>
      </c>
      <c r="K228" s="1202" t="str">
        <f>IF(VLOOKUP($A228,'Pre-Assessment Estimator'!$A$10:$Z$228,K$2,FALSE)=0,"",VLOOKUP($A228,'Pre-Assessment Estimator'!$A$10:$Z$228,K$2,FALSE))</f>
        <v/>
      </c>
      <c r="L228" s="1221" t="str">
        <f>IF(VLOOKUP($A228,'Pre-Assessment Estimator'!$A$10:$Z$228,L$2,FALSE)=0,"",VLOOKUP($A228,'Pre-Assessment Estimator'!$A$10:$Z$228,L$2,FALSE))</f>
        <v/>
      </c>
      <c r="M228" s="1222"/>
      <c r="N228" s="584" t="str">
        <f>IF(VLOOKUP($A228,'Pre-Assessment Estimator'!$A$10:$Z$228,N$2,FALSE)=0,"",VLOOKUP($A228,'Pre-Assessment Estimator'!$A$10:$Z$228,N$2,FALSE))</f>
        <v/>
      </c>
      <c r="O228" s="583">
        <f>VLOOKUP($A228,'Pre-Assessment Estimator'!$A$10:$Z$228,O$2,FALSE)</f>
        <v>0</v>
      </c>
      <c r="P228" s="582" t="str">
        <f>VLOOKUP($A228,'Pre-Assessment Estimator'!$A$10:$Z$228,P$2,FALSE)</f>
        <v>Credits achieved: 0</v>
      </c>
      <c r="Q228" s="1202" t="str">
        <f>IF(VLOOKUP($A228,'Pre-Assessment Estimator'!$A$10:$Z$228,Q$2,FALSE)=0,"",VLOOKUP($A228,'Pre-Assessment Estimator'!$A$10:$Z$228,Q$2,FALSE))</f>
        <v/>
      </c>
      <c r="R228" s="1202" t="str">
        <f>IF(VLOOKUP($A228,'Pre-Assessment Estimator'!$A$10:$Z$228,R$2,FALSE)=0,"",VLOOKUP($A228,'Pre-Assessment Estimator'!$A$10:$Z$228,R$2,FALSE))</f>
        <v/>
      </c>
      <c r="S228" s="1221" t="str">
        <f>IF(VLOOKUP($A228,'Pre-Assessment Estimator'!$A$10:$Z$228,S$2,FALSE)=0,"",VLOOKUP($A228,'Pre-Assessment Estimator'!$A$10:$Z$228,S$2,FALSE))</f>
        <v/>
      </c>
      <c r="T228" s="1223"/>
      <c r="U228" s="584" t="str">
        <f>IF(VLOOKUP($A228,'Pre-Assessment Estimator'!$A$10:$Z$228,U$2,FALSE)=0,"",VLOOKUP($A228,'Pre-Assessment Estimator'!$A$10:$Z$228,U$2,FALSE))</f>
        <v/>
      </c>
      <c r="V228" s="583">
        <f>VLOOKUP($A228,'Pre-Assessment Estimator'!$A$10:$Z$228,V$2,FALSE)</f>
        <v>0</v>
      </c>
      <c r="W228" s="582" t="str">
        <f>VLOOKUP($A228,'Pre-Assessment Estimator'!$A$10:$Z$228,W$2,FALSE)</f>
        <v>Credits achieved: 0</v>
      </c>
      <c r="X228" s="1202" t="str">
        <f>IF(VLOOKUP($A228,'Pre-Assessment Estimator'!$A$10:$Z$228,X$2,FALSE)=0,"",VLOOKUP($A228,'Pre-Assessment Estimator'!$A$10:$Z$228,X$2,FALSE))</f>
        <v/>
      </c>
      <c r="Y228" s="1202" t="str">
        <f>IF(VLOOKUP($A228,'Pre-Assessment Estimator'!$A$10:$Z$228,Y$2,FALSE)=0,"",VLOOKUP($A228,'Pre-Assessment Estimator'!$A$10:$Z$228,Y$2,FALSE))</f>
        <v/>
      </c>
      <c r="Z228" s="1224" t="str">
        <f>IF(VLOOKUP($A228,'Pre-Assessment Estimator'!$A$10:$Z$228,Z$2,FALSE)=0,"",VLOOKUP($A228,'Pre-Assessment Estimator'!$A$10:$Z$228,Z$2,FALSE))</f>
        <v/>
      </c>
      <c r="AA228" s="696">
        <v>215</v>
      </c>
    </row>
    <row r="229" spans="1:44" x14ac:dyDescent="0.25">
      <c r="A229" s="388"/>
      <c r="B229" s="388"/>
      <c r="C229" s="388"/>
      <c r="D229" s="388"/>
      <c r="E229" s="388"/>
      <c r="F229" s="388"/>
      <c r="G229" s="388"/>
      <c r="H229" s="388"/>
      <c r="I229" s="388"/>
      <c r="J229" s="388"/>
      <c r="K229" s="388"/>
      <c r="L229" s="388"/>
      <c r="M229" s="388"/>
      <c r="N229" s="388"/>
      <c r="O229" s="388"/>
      <c r="P229" s="388"/>
      <c r="Q229" s="388"/>
      <c r="R229" s="388"/>
      <c r="S229" s="388"/>
      <c r="T229" s="388"/>
      <c r="U229" s="388"/>
      <c r="V229" s="388"/>
      <c r="W229" s="388"/>
      <c r="X229" s="388"/>
      <c r="Y229" s="388"/>
      <c r="Z229" s="388"/>
      <c r="AA229" s="388"/>
      <c r="AB229" s="388"/>
      <c r="AC229" s="388"/>
      <c r="AD229" s="388"/>
      <c r="AE229" s="388"/>
      <c r="AF229" s="388"/>
      <c r="AG229" s="388"/>
      <c r="AH229" s="388"/>
      <c r="AI229" s="388"/>
    </row>
    <row r="230" spans="1:44" x14ac:dyDescent="0.25">
      <c r="A230" s="388"/>
      <c r="B230" s="388"/>
      <c r="C230" s="388"/>
      <c r="D230" s="388"/>
      <c r="E230" s="388"/>
      <c r="F230" s="388"/>
      <c r="G230" s="388"/>
      <c r="H230" s="388"/>
      <c r="I230" s="388"/>
      <c r="J230" s="388"/>
      <c r="K230" s="388"/>
      <c r="L230" s="388"/>
      <c r="M230" s="388"/>
      <c r="N230" s="388"/>
      <c r="O230" s="388"/>
      <c r="P230" s="388"/>
      <c r="Q230" s="388"/>
      <c r="R230" s="388"/>
      <c r="S230" s="388"/>
      <c r="T230" s="388"/>
      <c r="U230" s="388"/>
      <c r="V230" s="388"/>
      <c r="W230" s="388"/>
      <c r="X230" s="388"/>
      <c r="Y230" s="388"/>
      <c r="Z230" s="388"/>
      <c r="AA230" s="388"/>
      <c r="AB230" s="388"/>
      <c r="AC230" s="388"/>
      <c r="AD230" s="388"/>
      <c r="AE230" s="388"/>
      <c r="AF230" s="388"/>
      <c r="AG230" s="388"/>
      <c r="AH230" s="388"/>
      <c r="AI230" s="388"/>
    </row>
    <row r="231" spans="1:44" x14ac:dyDescent="0.25">
      <c r="A231" s="388"/>
      <c r="B231" s="388"/>
      <c r="C231" s="388"/>
      <c r="D231" s="388"/>
      <c r="E231" s="388"/>
      <c r="F231" s="388"/>
      <c r="G231" s="388"/>
      <c r="H231" s="388"/>
      <c r="I231" s="388"/>
      <c r="J231" s="388"/>
      <c r="K231" s="388"/>
      <c r="L231" s="388"/>
      <c r="M231" s="388"/>
      <c r="N231" s="388"/>
      <c r="O231" s="388"/>
      <c r="P231" s="388"/>
      <c r="Q231" s="388"/>
      <c r="R231" s="388"/>
      <c r="S231" s="388"/>
      <c r="T231" s="388"/>
      <c r="U231" s="388"/>
      <c r="V231" s="388"/>
      <c r="W231" s="388"/>
      <c r="X231" s="388"/>
      <c r="Y231" s="388"/>
      <c r="Z231" s="388"/>
      <c r="AA231" s="388"/>
      <c r="AB231" s="388"/>
      <c r="AC231" s="388"/>
      <c r="AD231" s="388"/>
      <c r="AE231" s="388"/>
      <c r="AF231" s="388"/>
      <c r="AG231" s="388"/>
      <c r="AH231" s="388"/>
      <c r="AI231" s="388"/>
      <c r="AJ231" s="414"/>
      <c r="AK231" s="414"/>
      <c r="AL231" s="414"/>
      <c r="AM231" s="414"/>
      <c r="AN231" s="414"/>
      <c r="AO231" s="414"/>
      <c r="AP231" s="414"/>
      <c r="AQ231" s="414"/>
      <c r="AR231" s="414"/>
    </row>
    <row r="232" spans="1:44" x14ac:dyDescent="0.25">
      <c r="E232" s="387"/>
      <c r="M232" s="387"/>
      <c r="T232" s="387"/>
      <c r="AB232" s="387"/>
      <c r="AC232" s="387"/>
      <c r="AD232" s="387"/>
      <c r="AE232" s="387"/>
      <c r="AF232" s="387"/>
    </row>
    <row r="233" spans="1:44" x14ac:dyDescent="0.25">
      <c r="E233" s="387"/>
      <c r="M233" s="387"/>
      <c r="T233" s="387"/>
      <c r="AB233" s="387"/>
      <c r="AC233" s="387"/>
      <c r="AD233" s="387"/>
      <c r="AE233" s="387"/>
      <c r="AF233" s="387"/>
    </row>
    <row r="234" spans="1:44" x14ac:dyDescent="0.25">
      <c r="E234" s="387"/>
      <c r="M234" s="387"/>
      <c r="T234" s="387"/>
      <c r="AB234" s="387"/>
      <c r="AC234" s="387"/>
      <c r="AD234" s="387"/>
      <c r="AE234" s="387"/>
      <c r="AF234" s="387"/>
    </row>
    <row r="384" spans="5:27" s="386" customFormat="1" ht="15.75" x14ac:dyDescent="0.25">
      <c r="E384" s="6"/>
      <c r="F384" s="416"/>
      <c r="G384" s="416"/>
      <c r="H384" s="416"/>
      <c r="I384" s="416"/>
      <c r="J384" s="416"/>
      <c r="K384" s="416"/>
      <c r="L384" s="417"/>
      <c r="N384" s="416"/>
      <c r="O384" s="416"/>
      <c r="P384" s="416"/>
      <c r="Q384" s="416"/>
      <c r="R384" s="416"/>
      <c r="S384" s="416"/>
      <c r="U384" s="416"/>
      <c r="V384" s="416"/>
      <c r="W384" s="416"/>
      <c r="X384" s="416"/>
      <c r="Y384" s="416"/>
      <c r="Z384" s="416"/>
      <c r="AA384" s="416"/>
    </row>
  </sheetData>
  <sheetProtection algorithmName="SHA-512" hashValue="TbuTiT24myRwYl96xZGg8w3fPHd6acSgqBMFRt+J2b1X/K24tI6ntn+2KRzdM8q6VI1KdmpqabiIDClUdMBHwg==" saltValue="z+y+BQEqIql/4PEj6UdIwA==" spinCount="100000" sheet="1" formatRows="0" sort="0" autoFilter="0"/>
  <autoFilter ref="A9:AF228" xr:uid="{00000000-0001-0000-0600-000000000000}"/>
  <conditionalFormatting sqref="E104:L104 J10:L10 J38:L38 J66:L66 J96:L96 J105:L105 AB11:AB37 E37:L37 AB97:AB104 E65:L65 AB39:AB40 E95:L95 AB67:AB72 AB106:AB117 AB119:AB146 AB148:AB160 AB162:AB173 AB194:AB209 AB211:AB225 F74:L93 F150:L161 F165:L173 F197:L210 F214:L227 U162:Z164 U194:Z196 U211:Z213 U228:Z228 U42:AA72 N42:S72 AB42:AB65 N175:S228 AA175:AA228 F175:L193 AB175:AB192 N74:S173 U74:Z149 AA74:AA173 AB74:AB95 F11:L36 N10:S40 U10:AA40">
    <cfRule type="expression" dxfId="496" priority="1630">
      <formula>$AF10=2</formula>
    </cfRule>
  </conditionalFormatting>
  <conditionalFormatting sqref="N2:S2 U2:AA2">
    <cfRule type="expression" dxfId="495" priority="1596">
      <formula>$AF10=2</formula>
    </cfRule>
  </conditionalFormatting>
  <conditionalFormatting sqref="AB10">
    <cfRule type="expression" dxfId="494" priority="1204">
      <formula>$AF10=2</formula>
    </cfRule>
  </conditionalFormatting>
  <conditionalFormatting sqref="AB38">
    <cfRule type="expression" dxfId="493" priority="1201">
      <formula>$AF38=2</formula>
    </cfRule>
  </conditionalFormatting>
  <conditionalFormatting sqref="AB66">
    <cfRule type="expression" dxfId="492" priority="1198">
      <formula>$AF66=2</formula>
    </cfRule>
  </conditionalFormatting>
  <conditionalFormatting sqref="AB96">
    <cfRule type="expression" dxfId="491" priority="1195">
      <formula>$AF96=2</formula>
    </cfRule>
  </conditionalFormatting>
  <conditionalFormatting sqref="AB105">
    <cfRule type="expression" dxfId="490" priority="1192">
      <formula>$AF105=2</formula>
    </cfRule>
  </conditionalFormatting>
  <conditionalFormatting sqref="AB118">
    <cfRule type="expression" dxfId="489" priority="1189">
      <formula>$AF118=2</formula>
    </cfRule>
  </conditionalFormatting>
  <conditionalFormatting sqref="AB147">
    <cfRule type="expression" dxfId="488" priority="1186">
      <formula>$AF147=2</formula>
    </cfRule>
  </conditionalFormatting>
  <conditionalFormatting sqref="AB161">
    <cfRule type="expression" dxfId="487" priority="1183">
      <formula>$AF161=2</formula>
    </cfRule>
  </conditionalFormatting>
  <conditionalFormatting sqref="AB193">
    <cfRule type="expression" dxfId="486" priority="1180">
      <formula>$AF193=2</formula>
    </cfRule>
  </conditionalFormatting>
  <conditionalFormatting sqref="AB210">
    <cfRule type="expression" dxfId="485" priority="1177">
      <formula>$AF210=2</formula>
    </cfRule>
  </conditionalFormatting>
  <conditionalFormatting sqref="F64:L64">
    <cfRule type="expression" dxfId="484" priority="1133">
      <formula>$AF64=2</formula>
    </cfRule>
  </conditionalFormatting>
  <conditionalFormatting sqref="F94:L94">
    <cfRule type="expression" dxfId="483" priority="1110">
      <formula>$AF94=2</formula>
    </cfRule>
  </conditionalFormatting>
  <conditionalFormatting sqref="F103:L103">
    <cfRule type="expression" dxfId="482" priority="1087">
      <formula>$AF103=2</formula>
    </cfRule>
  </conditionalFormatting>
  <conditionalFormatting sqref="F39:L40 F42:L63">
    <cfRule type="expression" dxfId="481" priority="903">
      <formula>$AF39=2</formula>
    </cfRule>
  </conditionalFormatting>
  <conditionalFormatting sqref="F67:L71">
    <cfRule type="expression" dxfId="480" priority="868">
      <formula>$AF67=2</formula>
    </cfRule>
  </conditionalFormatting>
  <conditionalFormatting sqref="F97:L102">
    <cfRule type="expression" dxfId="479" priority="833">
      <formula>$AF97=2</formula>
    </cfRule>
  </conditionalFormatting>
  <conditionalFormatting sqref="F106:L116">
    <cfRule type="expression" dxfId="478" priority="798">
      <formula>$AF106=2</formula>
    </cfRule>
  </conditionalFormatting>
  <conditionalFormatting sqref="F120:L146">
    <cfRule type="expression" dxfId="477" priority="763">
      <formula>$AF120=2</formula>
    </cfRule>
  </conditionalFormatting>
  <conditionalFormatting sqref="U150:Z161">
    <cfRule type="expression" dxfId="476" priority="728">
      <formula>$AF150=2</formula>
    </cfRule>
  </conditionalFormatting>
  <conditionalFormatting sqref="U165:Z173 U175:Z193">
    <cfRule type="expression" dxfId="475" priority="693">
      <formula>$AF165=2</formula>
    </cfRule>
  </conditionalFormatting>
  <conditionalFormatting sqref="U197:Z210">
    <cfRule type="expression" dxfId="474" priority="658">
      <formula>$AF197=2</formula>
    </cfRule>
  </conditionalFormatting>
  <conditionalFormatting sqref="U214:Z227">
    <cfRule type="expression" dxfId="473" priority="623">
      <formula>$AF214=2</formula>
    </cfRule>
  </conditionalFormatting>
  <conditionalFormatting sqref="J119:L119">
    <cfRule type="expression" dxfId="472" priority="600">
      <formula>$AF119=2</formula>
    </cfRule>
  </conditionalFormatting>
  <conditionalFormatting sqref="E118:L118">
    <cfRule type="expression" dxfId="471" priority="571">
      <formula>$AF118=2</formula>
    </cfRule>
  </conditionalFormatting>
  <conditionalFormatting sqref="F117:L117">
    <cfRule type="expression" dxfId="470" priority="554">
      <formula>$AF117=2</formula>
    </cfRule>
  </conditionalFormatting>
  <conditionalFormatting sqref="J149:L149">
    <cfRule type="expression" dxfId="469" priority="543">
      <formula>$AF149=2</formula>
    </cfRule>
  </conditionalFormatting>
  <conditionalFormatting sqref="E148:L148">
    <cfRule type="expression" dxfId="468" priority="497">
      <formula>$AF148=2</formula>
    </cfRule>
  </conditionalFormatting>
  <conditionalFormatting sqref="F147:L147">
    <cfRule type="expression" dxfId="467" priority="480">
      <formula>$AF147=2</formula>
    </cfRule>
  </conditionalFormatting>
  <conditionalFormatting sqref="J164:L164">
    <cfRule type="expression" dxfId="466" priority="469">
      <formula>$AF164=2</formula>
    </cfRule>
  </conditionalFormatting>
  <conditionalFormatting sqref="E163:L163">
    <cfRule type="expression" dxfId="465" priority="406">
      <formula>$AF163=2</formula>
    </cfRule>
  </conditionalFormatting>
  <conditionalFormatting sqref="J196:L196">
    <cfRule type="expression" dxfId="464" priority="401">
      <formula>$AF196=2</formula>
    </cfRule>
  </conditionalFormatting>
  <conditionalFormatting sqref="E195:L195">
    <cfRule type="expression" dxfId="463" priority="338">
      <formula>$AF195=2</formula>
    </cfRule>
  </conditionalFormatting>
  <conditionalFormatting sqref="F162:L162">
    <cfRule type="expression" dxfId="462" priority="321">
      <formula>$AF162=2</formula>
    </cfRule>
  </conditionalFormatting>
  <conditionalFormatting sqref="F194:L194">
    <cfRule type="expression" dxfId="461" priority="298">
      <formula>$AF194=2</formula>
    </cfRule>
  </conditionalFormatting>
  <conditionalFormatting sqref="J213:L213">
    <cfRule type="expression" dxfId="460" priority="287">
      <formula>$AF213=2</formula>
    </cfRule>
  </conditionalFormatting>
  <conditionalFormatting sqref="E212:L212">
    <cfRule type="expression" dxfId="459" priority="224">
      <formula>$AF212=2</formula>
    </cfRule>
  </conditionalFormatting>
  <conditionalFormatting sqref="F211:L211">
    <cfRule type="expression" dxfId="458" priority="207">
      <formula>$AF211=2</formula>
    </cfRule>
  </conditionalFormatting>
  <conditionalFormatting sqref="F228:L228">
    <cfRule type="expression" dxfId="457" priority="184">
      <formula>$AF228=2</formula>
    </cfRule>
  </conditionalFormatting>
  <conditionalFormatting sqref="F72:L72">
    <cfRule type="expression" dxfId="456" priority="161">
      <formula>$AF72=2</formula>
    </cfRule>
  </conditionalFormatting>
  <conditionalFormatting sqref="D104 D37 D65 D95">
    <cfRule type="expression" dxfId="455" priority="140">
      <formula>$AF37=2</formula>
    </cfRule>
  </conditionalFormatting>
  <conditionalFormatting sqref="D118">
    <cfRule type="expression" dxfId="454" priority="139">
      <formula>$AF118=2</formula>
    </cfRule>
  </conditionalFormatting>
  <conditionalFormatting sqref="D148">
    <cfRule type="expression" dxfId="453" priority="138">
      <formula>$AF148=2</formula>
    </cfRule>
  </conditionalFormatting>
  <conditionalFormatting sqref="D163">
    <cfRule type="expression" dxfId="452" priority="137">
      <formula>$AF163=2</formula>
    </cfRule>
  </conditionalFormatting>
  <conditionalFormatting sqref="D195">
    <cfRule type="expression" dxfId="451" priority="136">
      <formula>$AF195=2</formula>
    </cfRule>
  </conditionalFormatting>
  <conditionalFormatting sqref="D212">
    <cfRule type="expression" dxfId="450" priority="135">
      <formula>$AF212=2</formula>
    </cfRule>
  </conditionalFormatting>
  <conditionalFormatting sqref="N41:S41 U41:AB41">
    <cfRule type="expression" dxfId="449" priority="132">
      <formula>$AF41=2</formula>
    </cfRule>
  </conditionalFormatting>
  <conditionalFormatting sqref="F41:L41">
    <cfRule type="expression" dxfId="448" priority="114">
      <formula>$AF41=2</formula>
    </cfRule>
  </conditionalFormatting>
  <conditionalFormatting sqref="Q11:R11 X11:Y11 Q97:R102 X97:Y102 Q106:R116 X106:Y116 Q120:R146 X120:Y146 Q150:R161 X150:Y161 Q165:R173 X165:Y173 Q197:R210 X197:Y210 Q214:R227 X214:Y227 Q67:R72 X67:Y72 Q39:R63 X39:Y63 J175:K228 X175:Y193 Q175:R193 J74:K173 X74:Y93 Q74:R93 J10:K72">
    <cfRule type="expression" dxfId="447" priority="7020">
      <formula>#REF!=4</formula>
    </cfRule>
    <cfRule type="expression" dxfId="446" priority="7021">
      <formula>#REF!=3</formula>
    </cfRule>
    <cfRule type="expression" dxfId="445" priority="7022">
      <formula>#REF!=2</formula>
    </cfRule>
    <cfRule type="expression" dxfId="444" priority="7023">
      <formula>#REF!=1</formula>
    </cfRule>
  </conditionalFormatting>
  <conditionalFormatting sqref="Q175:R228 Q74:R173 Q10:R72">
    <cfRule type="expression" dxfId="443" priority="7036">
      <formula>#REF!=4</formula>
    </cfRule>
    <cfRule type="expression" dxfId="442" priority="7037">
      <formula>#REF!=3</formula>
    </cfRule>
    <cfRule type="expression" dxfId="441" priority="7038">
      <formula>#REF!=2</formula>
    </cfRule>
    <cfRule type="expression" dxfId="440" priority="7039">
      <formula>#REF!=1</formula>
    </cfRule>
  </conditionalFormatting>
  <conditionalFormatting sqref="X175:Y228 X74:Y173 X10:Y72">
    <cfRule type="expression" dxfId="439" priority="7044">
      <formula>#REF!=4</formula>
    </cfRule>
    <cfRule type="expression" dxfId="438" priority="7045">
      <formula>#REF!=3</formula>
    </cfRule>
    <cfRule type="expression" dxfId="437" priority="7046">
      <formula>#REF!=2</formula>
    </cfRule>
    <cfRule type="expression" dxfId="436" priority="7047">
      <formula>#REF!=1</formula>
    </cfRule>
  </conditionalFormatting>
  <conditionalFormatting sqref="Q2:R2">
    <cfRule type="expression" dxfId="435" priority="7088">
      <formula>#REF!=4</formula>
    </cfRule>
    <cfRule type="expression" dxfId="434" priority="7089">
      <formula>#REF!=3</formula>
    </cfRule>
    <cfRule type="expression" dxfId="433" priority="7090">
      <formula>#REF!=2</formula>
    </cfRule>
    <cfRule type="expression" dxfId="432" priority="7091">
      <formula>#REF!=1</formula>
    </cfRule>
  </conditionalFormatting>
  <conditionalFormatting sqref="X2:Y2">
    <cfRule type="expression" dxfId="431" priority="7092">
      <formula>#REF!=4</formula>
    </cfRule>
    <cfRule type="expression" dxfId="430" priority="7093">
      <formula>#REF!=3</formula>
    </cfRule>
    <cfRule type="expression" dxfId="429" priority="7094">
      <formula>#REF!=2</formula>
    </cfRule>
    <cfRule type="expression" dxfId="428" priority="7095">
      <formula>#REF!=1</formula>
    </cfRule>
  </conditionalFormatting>
  <conditionalFormatting sqref="K175:K228 K74:K173 K11:K72">
    <cfRule type="expression" dxfId="427" priority="85">
      <formula>K11=$AH$12</formula>
    </cfRule>
    <cfRule type="expression" dxfId="426" priority="86">
      <formula>K11=$AH$11</formula>
    </cfRule>
    <cfRule type="expression" dxfId="425" priority="93">
      <formula>K11=$AH$10</formula>
    </cfRule>
  </conditionalFormatting>
  <conditionalFormatting sqref="R175:R228 R74:R173 R11:R72">
    <cfRule type="expression" dxfId="424" priority="90">
      <formula>R11=$AH$12</formula>
    </cfRule>
    <cfRule type="expression" dxfId="423" priority="91">
      <formula>R11=$AH$11</formula>
    </cfRule>
    <cfRule type="expression" dxfId="422" priority="92">
      <formula>R11=$AH$10</formula>
    </cfRule>
  </conditionalFormatting>
  <conditionalFormatting sqref="Y175:Y228">
    <cfRule type="expression" dxfId="421" priority="87">
      <formula>Y1048537=$AH$12</formula>
    </cfRule>
    <cfRule type="expression" dxfId="420" priority="88">
      <formula>Y1048537=$AH$11</formula>
    </cfRule>
    <cfRule type="expression" dxfId="419" priority="89">
      <formula>Y1048537=$AH$10</formula>
    </cfRule>
  </conditionalFormatting>
  <conditionalFormatting sqref="Y74:Y173">
    <cfRule type="expression" dxfId="418" priority="7096">
      <formula>Y1048437=$AH$12</formula>
    </cfRule>
    <cfRule type="expression" dxfId="417" priority="7097">
      <formula>Y1048437=$AH$11</formula>
    </cfRule>
    <cfRule type="expression" dxfId="416" priority="7098">
      <formula>Y1048437=$AH$10</formula>
    </cfRule>
  </conditionalFormatting>
  <conditionalFormatting sqref="F174:L174 AA174:AB174 N174:S174">
    <cfRule type="expression" dxfId="415" priority="67">
      <formula>$AF174=2</formula>
    </cfRule>
  </conditionalFormatting>
  <conditionalFormatting sqref="U174:Z174">
    <cfRule type="expression" dxfId="414" priority="61">
      <formula>$AF174=2</formula>
    </cfRule>
  </conditionalFormatting>
  <conditionalFormatting sqref="Q174:R174 X174:Y174 J174:K174">
    <cfRule type="expression" dxfId="413" priority="70">
      <formula>#REF!=4</formula>
    </cfRule>
    <cfRule type="expression" dxfId="412" priority="71">
      <formula>#REF!=3</formula>
    </cfRule>
    <cfRule type="expression" dxfId="411" priority="72">
      <formula>#REF!=2</formula>
    </cfRule>
    <cfRule type="expression" dxfId="410" priority="73">
      <formula>#REF!=1</formula>
    </cfRule>
  </conditionalFormatting>
  <conditionalFormatting sqref="Q174:R174">
    <cfRule type="expression" dxfId="409" priority="74">
      <formula>#REF!=4</formula>
    </cfRule>
    <cfRule type="expression" dxfId="408" priority="75">
      <formula>#REF!=3</formula>
    </cfRule>
    <cfRule type="expression" dxfId="407" priority="76">
      <formula>#REF!=2</formula>
    </cfRule>
    <cfRule type="expression" dxfId="406" priority="77">
      <formula>#REF!=1</formula>
    </cfRule>
  </conditionalFormatting>
  <conditionalFormatting sqref="X174:Y174">
    <cfRule type="expression" dxfId="405" priority="78">
      <formula>#REF!=4</formula>
    </cfRule>
    <cfRule type="expression" dxfId="404" priority="79">
      <formula>#REF!=3</formula>
    </cfRule>
    <cfRule type="expression" dxfId="403" priority="80">
      <formula>#REF!=2</formula>
    </cfRule>
    <cfRule type="expression" dxfId="402" priority="81">
      <formula>#REF!=1</formula>
    </cfRule>
  </conditionalFormatting>
  <conditionalFormatting sqref="K174">
    <cfRule type="expression" dxfId="401" priority="43">
      <formula>K174=$AH$12</formula>
    </cfRule>
    <cfRule type="expression" dxfId="400" priority="44">
      <formula>K174=$AH$11</formula>
    </cfRule>
    <cfRule type="expression" dxfId="399" priority="48">
      <formula>K174=$AH$10</formula>
    </cfRule>
  </conditionalFormatting>
  <conditionalFormatting sqref="R174">
    <cfRule type="expression" dxfId="398" priority="45">
      <formula>R174=$AH$12</formula>
    </cfRule>
    <cfRule type="expression" dxfId="397" priority="46">
      <formula>R174=$AH$11</formula>
    </cfRule>
    <cfRule type="expression" dxfId="396" priority="47">
      <formula>R174=$AH$10</formula>
    </cfRule>
  </conditionalFormatting>
  <conditionalFormatting sqref="Y174">
    <cfRule type="expression" dxfId="395" priority="82">
      <formula>Y1048537=$AH$12</formula>
    </cfRule>
    <cfRule type="expression" dxfId="394" priority="83">
      <formula>Y1048537=$AH$11</formula>
    </cfRule>
    <cfRule type="expression" dxfId="393" priority="84">
      <formula>Y1048537=$AH$10</formula>
    </cfRule>
  </conditionalFormatting>
  <conditionalFormatting sqref="Y15:Y72">
    <cfRule type="expression" dxfId="392" priority="7099">
      <formula>Y1048379=$AH$12</formula>
    </cfRule>
    <cfRule type="expression" dxfId="391" priority="7100">
      <formula>Y1048379=$AH$11</formula>
    </cfRule>
    <cfRule type="expression" dxfId="390" priority="7101">
      <formula>Y1048379=$AH$10</formula>
    </cfRule>
  </conditionalFormatting>
  <conditionalFormatting sqref="U73:AB73 N73:S73">
    <cfRule type="expression" dxfId="389" priority="25">
      <formula>$AF73=2</formula>
    </cfRule>
  </conditionalFormatting>
  <conditionalFormatting sqref="F73:L73">
    <cfRule type="expression" dxfId="388" priority="19">
      <formula>$AF73=2</formula>
    </cfRule>
  </conditionalFormatting>
  <conditionalFormatting sqref="Q73:R73 X73:Y73 J73:K73">
    <cfRule type="expression" dxfId="387" priority="28">
      <formula>#REF!=4</formula>
    </cfRule>
    <cfRule type="expression" dxfId="386" priority="29">
      <formula>#REF!=3</formula>
    </cfRule>
    <cfRule type="expression" dxfId="385" priority="30">
      <formula>#REF!=2</formula>
    </cfRule>
    <cfRule type="expression" dxfId="384" priority="31">
      <formula>#REF!=1</formula>
    </cfRule>
  </conditionalFormatting>
  <conditionalFormatting sqref="Q73:R73">
    <cfRule type="expression" dxfId="383" priority="32">
      <formula>#REF!=4</formula>
    </cfRule>
    <cfRule type="expression" dxfId="382" priority="33">
      <formula>#REF!=3</formula>
    </cfRule>
    <cfRule type="expression" dxfId="381" priority="34">
      <formula>#REF!=2</formula>
    </cfRule>
    <cfRule type="expression" dxfId="380" priority="35">
      <formula>#REF!=1</formula>
    </cfRule>
  </conditionalFormatting>
  <conditionalFormatting sqref="X73:Y73">
    <cfRule type="expression" dxfId="379" priority="36">
      <formula>#REF!=4</formula>
    </cfRule>
    <cfRule type="expression" dxfId="378" priority="37">
      <formula>#REF!=3</formula>
    </cfRule>
    <cfRule type="expression" dxfId="377" priority="38">
      <formula>#REF!=2</formula>
    </cfRule>
    <cfRule type="expression" dxfId="376" priority="39">
      <formula>#REF!=1</formula>
    </cfRule>
  </conditionalFormatting>
  <conditionalFormatting sqref="K73">
    <cfRule type="expression" dxfId="375" priority="1">
      <formula>K73=$AH$12</formula>
    </cfRule>
    <cfRule type="expression" dxfId="374" priority="2">
      <formula>K73=$AH$11</formula>
    </cfRule>
    <cfRule type="expression" dxfId="373" priority="6">
      <formula>K73=$AH$10</formula>
    </cfRule>
  </conditionalFormatting>
  <conditionalFormatting sqref="R73">
    <cfRule type="expression" dxfId="372" priority="3">
      <formula>R73=$AH$12</formula>
    </cfRule>
    <cfRule type="expression" dxfId="371" priority="4">
      <formula>R73=$AH$11</formula>
    </cfRule>
    <cfRule type="expression" dxfId="370" priority="5">
      <formula>R73=$AH$10</formula>
    </cfRule>
  </conditionalFormatting>
  <conditionalFormatting sqref="Y73">
    <cfRule type="expression" dxfId="369" priority="40">
      <formula>Y1048437=$AH$12</formula>
    </cfRule>
    <cfRule type="expression" dxfId="368" priority="41">
      <formula>Y1048437=$AH$11</formula>
    </cfRule>
    <cfRule type="expression" dxfId="367" priority="42">
      <formula>Y1048437=$AH$10</formula>
    </cfRule>
  </conditionalFormatting>
  <conditionalFormatting sqref="Y11:Y14">
    <cfRule type="expression" dxfId="366" priority="7102">
      <formula>Y1048376=$AH$12</formula>
    </cfRule>
    <cfRule type="expression" dxfId="365" priority="7103">
      <formula>Y1048376=$AH$11</formula>
    </cfRule>
    <cfRule type="expression" dxfId="364" priority="7104">
      <formula>Y1048376=$AH$10</formula>
    </cfRule>
  </conditionalFormatting>
  <dataValidations count="2">
    <dataValidation allowBlank="1" showInputMessage="1" showErrorMessage="1" promptTitle="Sorting" prompt="Sort from smallest to largest to get original sorting" sqref="A9" xr:uid="{00000000-0002-0000-0600-000001000000}"/>
    <dataValidation type="decimal" operator="lessThanOrEqual" allowBlank="1" errorTitle="Invalid entry" error="Cannot award more credits than available" sqref="E11:Z228" xr:uid="{00000000-0002-0000-0600-000000000000}">
      <formula1>$F11</formula1>
    </dataValidation>
  </dataValidations>
  <pageMargins left="0.43307086614173229" right="0.19685039370078741" top="0.6692913385826772" bottom="0.59055118110236227" header="0.31496062992125984" footer="0.31496062992125984"/>
  <pageSetup paperSize="9" scale="39" fitToHeight="0" orientation="landscape" r:id="rId1"/>
  <headerFooter>
    <oddFooter xml:space="preserve">&amp;L&amp;F&amp;C&amp;D&amp;RPage &amp;P of &amp;N  </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627" id="{B963291B-988D-4012-8C32-6BE515380621}">
            <xm:f>$S$8='Assessment Details'!$Q$23</xm:f>
            <x14:dxf>
              <font>
                <color theme="0"/>
              </font>
              <fill>
                <patternFill>
                  <bgColor theme="0"/>
                </patternFill>
              </fill>
              <border>
                <vertical/>
                <horizontal/>
              </border>
            </x14:dxf>
          </x14:cfRule>
          <xm:sqref>AB102:AB104 AB97:AB100 AB211:AB225 AB11:AB37 N2:S2 AB39:AB40 AB67:AB72 AB106:AB117 AB119:AB146 AB148:AB160 AB162:AB173 AB194:AB209 N65:S66 N95:S96 N104:S105 G74:G93 N74:S93 U74:U93 W74:W93 AB42:AB65 AB175:AB192 AB74:AB95 N10:S38</xm:sqref>
        </x14:conditionalFormatting>
        <x14:conditionalFormatting xmlns:xm="http://schemas.microsoft.com/office/excel/2006/main">
          <x14:cfRule type="expression" priority="1626" id="{D6CE8378-0295-43A4-B4D2-FF97977D5B54}">
            <xm:f>$S$8='Assessment Details'!$Q$23</xm:f>
            <x14:dxf>
              <border>
                <left style="thin">
                  <color theme="0"/>
                </left>
                <right style="thin">
                  <color theme="0"/>
                </right>
                <top style="thin">
                  <color theme="0"/>
                </top>
                <bottom style="thin">
                  <color theme="0"/>
                </bottom>
                <vertical/>
                <horizontal/>
              </border>
            </x14:dxf>
          </x14:cfRule>
          <xm:sqref>AB102:AB104 AB97:AB100 AB211:AB225 AB11:AB37 N2:S2 AB39:AB40 AB67:AB72 AB106:AB117 AB119:AB146 AB148:AB160 AB162:AB173 AB194:AB209 N65:S66 N95:S96 N104:S105 G74:G93 N74:S93 U74:U93 W74:W93 AB42:AB65 AB175:AB192 AB74:AB95 N10:S38</xm:sqref>
        </x14:conditionalFormatting>
        <x14:conditionalFormatting xmlns:xm="http://schemas.microsoft.com/office/excel/2006/main">
          <x14:cfRule type="expression" priority="1206" id="{D4A1FB8B-9A6F-4D5A-87DE-8437C2FEA5F4}">
            <xm:f>$S$8='Assessment Details'!$Q$23</xm:f>
            <x14:dxf>
              <font>
                <color theme="0"/>
              </font>
              <fill>
                <patternFill>
                  <bgColor theme="0"/>
                </patternFill>
              </fill>
              <border>
                <vertical/>
                <horizontal/>
              </border>
            </x14:dxf>
          </x14:cfRule>
          <xm:sqref>AB101</xm:sqref>
        </x14:conditionalFormatting>
        <x14:conditionalFormatting xmlns:xm="http://schemas.microsoft.com/office/excel/2006/main">
          <x14:cfRule type="expression" priority="1205" id="{702E3ADF-3980-4B25-89A5-EF096DCCD8F6}">
            <xm:f>$S$8='Assessment Details'!$Q$23</xm:f>
            <x14:dxf>
              <border>
                <left style="thin">
                  <color theme="0"/>
                </left>
                <right style="thin">
                  <color theme="0"/>
                </right>
                <top style="thin">
                  <color theme="0"/>
                </top>
                <bottom style="thin">
                  <color theme="0"/>
                </bottom>
                <vertical/>
                <horizontal/>
              </border>
            </x14:dxf>
          </x14:cfRule>
          <xm:sqref>AB101</xm:sqref>
        </x14:conditionalFormatting>
        <x14:conditionalFormatting xmlns:xm="http://schemas.microsoft.com/office/excel/2006/main">
          <x14:cfRule type="expression" priority="1203" id="{258B7964-1DDD-42CC-8176-865BF7F43F24}">
            <xm:f>$S$8='Assessment Details'!$Q$23</xm:f>
            <x14:dxf>
              <font>
                <color theme="0"/>
              </font>
              <fill>
                <patternFill>
                  <bgColor theme="0"/>
                </patternFill>
              </fill>
              <border>
                <vertical/>
                <horizontal/>
              </border>
            </x14:dxf>
          </x14:cfRule>
          <xm:sqref>AB10</xm:sqref>
        </x14:conditionalFormatting>
        <x14:conditionalFormatting xmlns:xm="http://schemas.microsoft.com/office/excel/2006/main">
          <x14:cfRule type="expression" priority="1202" id="{7BB3A65E-2FFF-4780-BA07-E396F8C92B2F}">
            <xm:f>$S$8='Assessment Details'!$Q$23</xm:f>
            <x14:dxf>
              <border>
                <left style="thin">
                  <color theme="0"/>
                </left>
                <right style="thin">
                  <color theme="0"/>
                </right>
                <top style="thin">
                  <color theme="0"/>
                </top>
                <bottom style="thin">
                  <color theme="0"/>
                </bottom>
                <vertical/>
                <horizontal/>
              </border>
            </x14:dxf>
          </x14:cfRule>
          <xm:sqref>AB10</xm:sqref>
        </x14:conditionalFormatting>
        <x14:conditionalFormatting xmlns:xm="http://schemas.microsoft.com/office/excel/2006/main">
          <x14:cfRule type="expression" priority="1200" id="{779EE763-74DF-4BD9-9F1F-3F97AD73E70F}">
            <xm:f>$S$8='Assessment Details'!$Q$23</xm:f>
            <x14:dxf>
              <font>
                <color theme="0"/>
              </font>
              <fill>
                <patternFill>
                  <bgColor theme="0"/>
                </patternFill>
              </fill>
              <border>
                <vertical/>
                <horizontal/>
              </border>
            </x14:dxf>
          </x14:cfRule>
          <xm:sqref>AB38</xm:sqref>
        </x14:conditionalFormatting>
        <x14:conditionalFormatting xmlns:xm="http://schemas.microsoft.com/office/excel/2006/main">
          <x14:cfRule type="expression" priority="1199" id="{F92D0C3A-CBEC-4FCE-86A8-17D840D00825}">
            <xm:f>$S$8='Assessment Details'!$Q$23</xm:f>
            <x14:dxf>
              <border>
                <left style="thin">
                  <color theme="0"/>
                </left>
                <right style="thin">
                  <color theme="0"/>
                </right>
                <top style="thin">
                  <color theme="0"/>
                </top>
                <bottom style="thin">
                  <color theme="0"/>
                </bottom>
                <vertical/>
                <horizontal/>
              </border>
            </x14:dxf>
          </x14:cfRule>
          <xm:sqref>AB38</xm:sqref>
        </x14:conditionalFormatting>
        <x14:conditionalFormatting xmlns:xm="http://schemas.microsoft.com/office/excel/2006/main">
          <x14:cfRule type="expression" priority="1197" id="{027B81C1-6272-451D-B4B8-47058050C058}">
            <xm:f>$S$8='Assessment Details'!$Q$23</xm:f>
            <x14:dxf>
              <font>
                <color theme="0"/>
              </font>
              <fill>
                <patternFill>
                  <bgColor theme="0"/>
                </patternFill>
              </fill>
              <border>
                <vertical/>
                <horizontal/>
              </border>
            </x14:dxf>
          </x14:cfRule>
          <xm:sqref>AB66</xm:sqref>
        </x14:conditionalFormatting>
        <x14:conditionalFormatting xmlns:xm="http://schemas.microsoft.com/office/excel/2006/main">
          <x14:cfRule type="expression" priority="1196" id="{4D3B5EA4-9B11-4F47-A1E2-053463420900}">
            <xm:f>$S$8='Assessment Details'!$Q$23</xm:f>
            <x14:dxf>
              <border>
                <left style="thin">
                  <color theme="0"/>
                </left>
                <right style="thin">
                  <color theme="0"/>
                </right>
                <top style="thin">
                  <color theme="0"/>
                </top>
                <bottom style="thin">
                  <color theme="0"/>
                </bottom>
                <vertical/>
                <horizontal/>
              </border>
            </x14:dxf>
          </x14:cfRule>
          <xm:sqref>AB66</xm:sqref>
        </x14:conditionalFormatting>
        <x14:conditionalFormatting xmlns:xm="http://schemas.microsoft.com/office/excel/2006/main">
          <x14:cfRule type="expression" priority="1194" id="{D1977690-7C99-4F9A-A385-8225523AE7C5}">
            <xm:f>$S$8='Assessment Details'!$Q$23</xm:f>
            <x14:dxf>
              <font>
                <color theme="0"/>
              </font>
              <fill>
                <patternFill>
                  <bgColor theme="0"/>
                </patternFill>
              </fill>
              <border>
                <vertical/>
                <horizontal/>
              </border>
            </x14:dxf>
          </x14:cfRule>
          <xm:sqref>AB96</xm:sqref>
        </x14:conditionalFormatting>
        <x14:conditionalFormatting xmlns:xm="http://schemas.microsoft.com/office/excel/2006/main">
          <x14:cfRule type="expression" priority="1193" id="{02B16B7F-9900-4D08-AD13-3051DACA57E6}">
            <xm:f>$S$8='Assessment Details'!$Q$23</xm:f>
            <x14:dxf>
              <border>
                <left style="thin">
                  <color theme="0"/>
                </left>
                <right style="thin">
                  <color theme="0"/>
                </right>
                <top style="thin">
                  <color theme="0"/>
                </top>
                <bottom style="thin">
                  <color theme="0"/>
                </bottom>
                <vertical/>
                <horizontal/>
              </border>
            </x14:dxf>
          </x14:cfRule>
          <xm:sqref>AB96</xm:sqref>
        </x14:conditionalFormatting>
        <x14:conditionalFormatting xmlns:xm="http://schemas.microsoft.com/office/excel/2006/main">
          <x14:cfRule type="expression" priority="1191" id="{851B2D0E-EE59-432B-86AE-4FC98C58D018}">
            <xm:f>$S$8='Assessment Details'!$Q$23</xm:f>
            <x14:dxf>
              <font>
                <color theme="0"/>
              </font>
              <fill>
                <patternFill>
                  <bgColor theme="0"/>
                </patternFill>
              </fill>
              <border>
                <vertical/>
                <horizontal/>
              </border>
            </x14:dxf>
          </x14:cfRule>
          <xm:sqref>AB105</xm:sqref>
        </x14:conditionalFormatting>
        <x14:conditionalFormatting xmlns:xm="http://schemas.microsoft.com/office/excel/2006/main">
          <x14:cfRule type="expression" priority="1190" id="{AF11453C-7B9A-47F5-A23D-103B7E6120F5}">
            <xm:f>$S$8='Assessment Details'!$Q$23</xm:f>
            <x14:dxf>
              <border>
                <left style="thin">
                  <color theme="0"/>
                </left>
                <right style="thin">
                  <color theme="0"/>
                </right>
                <top style="thin">
                  <color theme="0"/>
                </top>
                <bottom style="thin">
                  <color theme="0"/>
                </bottom>
                <vertical/>
                <horizontal/>
              </border>
            </x14:dxf>
          </x14:cfRule>
          <xm:sqref>AB105</xm:sqref>
        </x14:conditionalFormatting>
        <x14:conditionalFormatting xmlns:xm="http://schemas.microsoft.com/office/excel/2006/main">
          <x14:cfRule type="expression" priority="1188" id="{BDA04989-118F-431C-9128-402229EDB742}">
            <xm:f>$S$8='Assessment Details'!$Q$23</xm:f>
            <x14:dxf>
              <font>
                <color theme="0"/>
              </font>
              <fill>
                <patternFill>
                  <bgColor theme="0"/>
                </patternFill>
              </fill>
              <border>
                <vertical/>
                <horizontal/>
              </border>
            </x14:dxf>
          </x14:cfRule>
          <xm:sqref>AB118</xm:sqref>
        </x14:conditionalFormatting>
        <x14:conditionalFormatting xmlns:xm="http://schemas.microsoft.com/office/excel/2006/main">
          <x14:cfRule type="expression" priority="1187" id="{DD27F743-136F-4F86-96CC-24A0C7078F4D}">
            <xm:f>$S$8='Assessment Details'!$Q$23</xm:f>
            <x14:dxf>
              <border>
                <left style="thin">
                  <color theme="0"/>
                </left>
                <right style="thin">
                  <color theme="0"/>
                </right>
                <top style="thin">
                  <color theme="0"/>
                </top>
                <bottom style="thin">
                  <color theme="0"/>
                </bottom>
                <vertical/>
                <horizontal/>
              </border>
            </x14:dxf>
          </x14:cfRule>
          <xm:sqref>AB118</xm:sqref>
        </x14:conditionalFormatting>
        <x14:conditionalFormatting xmlns:xm="http://schemas.microsoft.com/office/excel/2006/main">
          <x14:cfRule type="expression" priority="1185" id="{FF303370-E145-4234-90FB-DE980C45532D}">
            <xm:f>$S$8='Assessment Details'!$Q$23</xm:f>
            <x14:dxf>
              <font>
                <color theme="0"/>
              </font>
              <fill>
                <patternFill>
                  <bgColor theme="0"/>
                </patternFill>
              </fill>
              <border>
                <vertical/>
                <horizontal/>
              </border>
            </x14:dxf>
          </x14:cfRule>
          <xm:sqref>AB147</xm:sqref>
        </x14:conditionalFormatting>
        <x14:conditionalFormatting xmlns:xm="http://schemas.microsoft.com/office/excel/2006/main">
          <x14:cfRule type="expression" priority="1184" id="{2632A259-519C-48E3-8FBB-B6242A1337A6}">
            <xm:f>$S$8='Assessment Details'!$Q$23</xm:f>
            <x14:dxf>
              <border>
                <left style="thin">
                  <color theme="0"/>
                </left>
                <right style="thin">
                  <color theme="0"/>
                </right>
                <top style="thin">
                  <color theme="0"/>
                </top>
                <bottom style="thin">
                  <color theme="0"/>
                </bottom>
                <vertical/>
                <horizontal/>
              </border>
            </x14:dxf>
          </x14:cfRule>
          <xm:sqref>AB147</xm:sqref>
        </x14:conditionalFormatting>
        <x14:conditionalFormatting xmlns:xm="http://schemas.microsoft.com/office/excel/2006/main">
          <x14:cfRule type="expression" priority="1182" id="{187E2EFC-BF3D-45C7-925F-2464160CBCBF}">
            <xm:f>$S$8='Assessment Details'!$Q$23</xm:f>
            <x14:dxf>
              <font>
                <color theme="0"/>
              </font>
              <fill>
                <patternFill>
                  <bgColor theme="0"/>
                </patternFill>
              </fill>
              <border>
                <vertical/>
                <horizontal/>
              </border>
            </x14:dxf>
          </x14:cfRule>
          <xm:sqref>AB161</xm:sqref>
        </x14:conditionalFormatting>
        <x14:conditionalFormatting xmlns:xm="http://schemas.microsoft.com/office/excel/2006/main">
          <x14:cfRule type="expression" priority="1181" id="{3C5F7B95-E605-4AD1-9B8A-92CCF8687D8A}">
            <xm:f>$S$8='Assessment Details'!$Q$23</xm:f>
            <x14:dxf>
              <border>
                <left style="thin">
                  <color theme="0"/>
                </left>
                <right style="thin">
                  <color theme="0"/>
                </right>
                <top style="thin">
                  <color theme="0"/>
                </top>
                <bottom style="thin">
                  <color theme="0"/>
                </bottom>
                <vertical/>
                <horizontal/>
              </border>
            </x14:dxf>
          </x14:cfRule>
          <xm:sqref>AB161</xm:sqref>
        </x14:conditionalFormatting>
        <x14:conditionalFormatting xmlns:xm="http://schemas.microsoft.com/office/excel/2006/main">
          <x14:cfRule type="expression" priority="1179" id="{8312C7E2-5FCA-405D-A25A-378E6A65001A}">
            <xm:f>$S$8='Assessment Details'!$Q$23</xm:f>
            <x14:dxf>
              <font>
                <color theme="0"/>
              </font>
              <fill>
                <patternFill>
                  <bgColor theme="0"/>
                </patternFill>
              </fill>
              <border>
                <vertical/>
                <horizontal/>
              </border>
            </x14:dxf>
          </x14:cfRule>
          <xm:sqref>AB193</xm:sqref>
        </x14:conditionalFormatting>
        <x14:conditionalFormatting xmlns:xm="http://schemas.microsoft.com/office/excel/2006/main">
          <x14:cfRule type="expression" priority="1178" id="{2ABA13B5-80B7-40DC-BBE5-C00321C31963}">
            <xm:f>$S$8='Assessment Details'!$Q$23</xm:f>
            <x14:dxf>
              <border>
                <left style="thin">
                  <color theme="0"/>
                </left>
                <right style="thin">
                  <color theme="0"/>
                </right>
                <top style="thin">
                  <color theme="0"/>
                </top>
                <bottom style="thin">
                  <color theme="0"/>
                </bottom>
                <vertical/>
                <horizontal/>
              </border>
            </x14:dxf>
          </x14:cfRule>
          <xm:sqref>AB193</xm:sqref>
        </x14:conditionalFormatting>
        <x14:conditionalFormatting xmlns:xm="http://schemas.microsoft.com/office/excel/2006/main">
          <x14:cfRule type="expression" priority="1176" id="{A6D317C5-B5ED-435A-990C-B88E15394D9C}">
            <xm:f>$S$8='Assessment Details'!$Q$23</xm:f>
            <x14:dxf>
              <font>
                <color theme="0"/>
              </font>
              <fill>
                <patternFill>
                  <bgColor theme="0"/>
                </patternFill>
              </fill>
              <border>
                <vertical/>
                <horizontal/>
              </border>
            </x14:dxf>
          </x14:cfRule>
          <xm:sqref>AB210</xm:sqref>
        </x14:conditionalFormatting>
        <x14:conditionalFormatting xmlns:xm="http://schemas.microsoft.com/office/excel/2006/main">
          <x14:cfRule type="expression" priority="1175" id="{94E5855F-7FDC-4C62-97F8-C2DC96E16261}">
            <xm:f>$S$8='Assessment Details'!$Q$23</xm:f>
            <x14:dxf>
              <border>
                <left style="thin">
                  <color theme="0"/>
                </left>
                <right style="thin">
                  <color theme="0"/>
                </right>
                <top style="thin">
                  <color theme="0"/>
                </top>
                <bottom style="thin">
                  <color theme="0"/>
                </bottom>
                <vertical/>
                <horizontal/>
              </border>
            </x14:dxf>
          </x14:cfRule>
          <xm:sqref>AB210</xm:sqref>
        </x14:conditionalFormatting>
        <x14:conditionalFormatting xmlns:xm="http://schemas.microsoft.com/office/excel/2006/main">
          <x14:cfRule type="expression" priority="1174" id="{CA85C2F4-B3B6-4EDC-AAA8-13898B5EA085}">
            <xm:f>'Pre-Assessment Estimator'!$AJ$4=ais_nei</xm:f>
            <x14:dxf>
              <font>
                <color theme="0"/>
              </font>
              <fill>
                <patternFill>
                  <bgColor theme="0"/>
                </patternFill>
              </fill>
              <border>
                <left/>
                <right/>
                <top/>
                <bottom/>
                <vertical/>
                <horizontal/>
              </border>
            </x14:dxf>
          </x14:cfRule>
          <xm:sqref>AB10:AB40 AB42:AB72 AB175:AB225 AB74:AB173</xm:sqref>
        </x14:conditionalFormatting>
        <x14:conditionalFormatting xmlns:xm="http://schemas.microsoft.com/office/excel/2006/main">
          <x14:cfRule type="expression" priority="1165" id="{91A40F5D-EE13-49A1-A431-4C7B3D2E9120}">
            <xm:f>$S$8='Assessment Details'!$Q$23</xm:f>
            <x14:dxf>
              <font>
                <color theme="0"/>
              </font>
              <fill>
                <patternFill>
                  <bgColor theme="0"/>
                </patternFill>
              </fill>
              <border>
                <vertical/>
                <horizontal/>
              </border>
            </x14:dxf>
          </x14:cfRule>
          <xm:sqref>G11:G36</xm:sqref>
        </x14:conditionalFormatting>
        <x14:conditionalFormatting xmlns:xm="http://schemas.microsoft.com/office/excel/2006/main">
          <x14:cfRule type="expression" priority="1164" id="{25BB7F43-1C6E-4013-94FE-A8FA867514C0}">
            <xm:f>$S$8='Assessment Details'!$Q$23</xm:f>
            <x14:dxf>
              <border>
                <left style="thin">
                  <color theme="0"/>
                </left>
                <right style="thin">
                  <color theme="0"/>
                </right>
                <top style="thin">
                  <color theme="0"/>
                </top>
                <bottom style="thin">
                  <color theme="0"/>
                </bottom>
                <vertical/>
                <horizontal/>
              </border>
            </x14:dxf>
          </x14:cfRule>
          <xm:sqref>G11:G36</xm:sqref>
        </x14:conditionalFormatting>
        <x14:conditionalFormatting xmlns:xm="http://schemas.microsoft.com/office/excel/2006/main">
          <x14:cfRule type="expression" priority="1163" id="{8CAF9B23-775E-4F2C-B1CB-447B2061AE74}">
            <xm:f>$S$8='Assessment Details'!$Q$23</xm:f>
            <x14:dxf>
              <font>
                <color theme="0"/>
              </font>
              <fill>
                <patternFill>
                  <bgColor theme="0"/>
                </patternFill>
              </fill>
              <border>
                <vertical/>
                <horizontal/>
              </border>
            </x14:dxf>
          </x14:cfRule>
          <xm:sqref>U11:U36</xm:sqref>
        </x14:conditionalFormatting>
        <x14:conditionalFormatting xmlns:xm="http://schemas.microsoft.com/office/excel/2006/main">
          <x14:cfRule type="expression" priority="1162" id="{3DF2DC78-BBCF-4376-A8AD-D065CD3831D1}">
            <xm:f>$S$8='Assessment Details'!$Q$23</xm:f>
            <x14:dxf>
              <border>
                <left style="thin">
                  <color theme="0"/>
                </left>
                <right style="thin">
                  <color theme="0"/>
                </right>
                <top style="thin">
                  <color theme="0"/>
                </top>
                <bottom style="thin">
                  <color theme="0"/>
                </bottom>
                <vertical/>
                <horizontal/>
              </border>
            </x14:dxf>
          </x14:cfRule>
          <xm:sqref>U11:U36</xm:sqref>
        </x14:conditionalFormatting>
        <x14:conditionalFormatting xmlns:xm="http://schemas.microsoft.com/office/excel/2006/main">
          <x14:cfRule type="expression" priority="1157" id="{1BC73C47-1758-4EB7-86BE-2E2AD60FD100}">
            <xm:f>$S$8='Assessment Details'!$Q$23</xm:f>
            <x14:dxf>
              <font>
                <color theme="0"/>
              </font>
              <fill>
                <patternFill>
                  <bgColor theme="0"/>
                </patternFill>
              </fill>
              <border>
                <vertical/>
                <horizontal/>
              </border>
            </x14:dxf>
          </x14:cfRule>
          <xm:sqref>N11</xm:sqref>
        </x14:conditionalFormatting>
        <x14:conditionalFormatting xmlns:xm="http://schemas.microsoft.com/office/excel/2006/main">
          <x14:cfRule type="expression" priority="1156" id="{D2619090-6BDB-4792-A8E2-73C3E3F709E0}">
            <xm:f>$S$8='Assessment Details'!$Q$23</xm:f>
            <x14:dxf>
              <border>
                <left style="thin">
                  <color theme="0"/>
                </left>
                <right style="thin">
                  <color theme="0"/>
                </right>
                <top style="thin">
                  <color theme="0"/>
                </top>
                <bottom style="thin">
                  <color theme="0"/>
                </bottom>
                <vertical/>
                <horizontal/>
              </border>
            </x14:dxf>
          </x14:cfRule>
          <xm:sqref>N11</xm:sqref>
        </x14:conditionalFormatting>
        <x14:conditionalFormatting xmlns:xm="http://schemas.microsoft.com/office/excel/2006/main">
          <x14:cfRule type="expression" priority="1151" id="{66255529-4F29-43F6-BFD1-3ADCBB7A00F0}">
            <xm:f>$S$8='Assessment Details'!$Q$23</xm:f>
            <x14:dxf>
              <font>
                <color theme="0"/>
              </font>
              <fill>
                <patternFill>
                  <bgColor theme="0"/>
                </patternFill>
              </fill>
              <border>
                <vertical/>
                <horizontal/>
              </border>
            </x14:dxf>
          </x14:cfRule>
          <xm:sqref>U11</xm:sqref>
        </x14:conditionalFormatting>
        <x14:conditionalFormatting xmlns:xm="http://schemas.microsoft.com/office/excel/2006/main">
          <x14:cfRule type="expression" priority="1150" id="{786DA6F1-B0B2-44B0-ABD6-7C02B98EB7B2}">
            <xm:f>$S$8='Assessment Details'!$Q$23</xm:f>
            <x14:dxf>
              <border>
                <left style="thin">
                  <color theme="0"/>
                </left>
                <right style="thin">
                  <color theme="0"/>
                </right>
                <top style="thin">
                  <color theme="0"/>
                </top>
                <bottom style="thin">
                  <color theme="0"/>
                </bottom>
                <vertical/>
                <horizontal/>
              </border>
            </x14:dxf>
          </x14:cfRule>
          <xm:sqref>U11</xm:sqref>
        </x14:conditionalFormatting>
        <x14:conditionalFormatting xmlns:xm="http://schemas.microsoft.com/office/excel/2006/main">
          <x14:cfRule type="expression" priority="1149" id="{E8E0CC8E-C1ED-4FB6-B617-50244357E13B}">
            <xm:f>$S$8='Assessment Details'!$Q$23</xm:f>
            <x14:dxf>
              <font>
                <color theme="0"/>
              </font>
              <fill>
                <patternFill>
                  <bgColor theme="0"/>
                </patternFill>
              </fill>
              <border>
                <vertical/>
                <horizontal/>
              </border>
            </x14:dxf>
          </x14:cfRule>
          <xm:sqref>W11:W36</xm:sqref>
        </x14:conditionalFormatting>
        <x14:conditionalFormatting xmlns:xm="http://schemas.microsoft.com/office/excel/2006/main">
          <x14:cfRule type="expression" priority="1148" id="{8FA22E55-62A0-4B65-BF55-2B7B3F01900D}">
            <xm:f>$S$8='Assessment Details'!$Q$23</xm:f>
            <x14:dxf>
              <border>
                <left style="thin">
                  <color theme="0"/>
                </left>
                <right style="thin">
                  <color theme="0"/>
                </right>
                <top style="thin">
                  <color theme="0"/>
                </top>
                <bottom style="thin">
                  <color theme="0"/>
                </bottom>
                <vertical/>
                <horizontal/>
              </border>
            </x14:dxf>
          </x14:cfRule>
          <xm:sqref>W11:W36</xm:sqref>
        </x14:conditionalFormatting>
        <x14:conditionalFormatting xmlns:xm="http://schemas.microsoft.com/office/excel/2006/main">
          <x14:cfRule type="expression" priority="7015" id="{DB805B39-675F-4529-AAA9-84C1652FC9E0}">
            <xm:f>$Z$8='Assessment Details'!$Q$23</xm:f>
            <x14:dxf>
              <font>
                <color theme="0"/>
              </font>
              <fill>
                <patternFill>
                  <bgColor theme="0"/>
                </patternFill>
              </fill>
            </x14:dxf>
          </x14:cfRule>
          <xm:sqref>U2:AA2 U10:AA10 U65:Z66 U95:Z96 U104:Z105 U74:Z93 AA11:AA40 AA42:AA72 AA175:AA228 AA74:AA173 U11:Z38</xm:sqref>
        </x14:conditionalFormatting>
        <x14:conditionalFormatting xmlns:xm="http://schemas.microsoft.com/office/excel/2006/main">
          <x14:cfRule type="expression" priority="7019" id="{6470B74F-A8AF-495C-B6F5-853222BCD4E5}">
            <xm:f>$Z$8='Assessment Details'!$Q$23</xm:f>
            <x14:dxf>
              <border>
                <left style="thin">
                  <color theme="0"/>
                </left>
                <right style="thin">
                  <color theme="0"/>
                </right>
                <top style="thin">
                  <color theme="0"/>
                </top>
                <bottom style="thin">
                  <color theme="0"/>
                </bottom>
                <vertical/>
                <horizontal/>
              </border>
            </x14:dxf>
          </x14:cfRule>
          <xm:sqref>U2:AA2 U10:AA10 U65:Z66 U95:Z96 U104:Z105 U74:Z93 AA11:AA40 AA42:AA72 AA175:AA228 AA74:AA173 U11:Z38</xm:sqref>
        </x14:conditionalFormatting>
        <x14:conditionalFormatting xmlns:xm="http://schemas.microsoft.com/office/excel/2006/main">
          <x14:cfRule type="expression" priority="1132" id="{2298EEF2-E470-443F-B53F-42C72C43AD19}">
            <xm:f>$S$8='Assessment Details'!$Q$23</xm:f>
            <x14:dxf>
              <font>
                <color theme="0"/>
              </font>
              <fill>
                <patternFill>
                  <bgColor theme="0"/>
                </patternFill>
              </fill>
              <border>
                <vertical/>
                <horizontal/>
              </border>
            </x14:dxf>
          </x14:cfRule>
          <xm:sqref>N64:S64</xm:sqref>
        </x14:conditionalFormatting>
        <x14:conditionalFormatting xmlns:xm="http://schemas.microsoft.com/office/excel/2006/main">
          <x14:cfRule type="expression" priority="1131" id="{F02FCAFD-237A-4971-86FA-60B30CE34A99}">
            <xm:f>$S$8='Assessment Details'!$Q$23</xm:f>
            <x14:dxf>
              <border>
                <left style="thin">
                  <color theme="0"/>
                </left>
                <right style="thin">
                  <color theme="0"/>
                </right>
                <top style="thin">
                  <color theme="0"/>
                </top>
                <bottom style="thin">
                  <color theme="0"/>
                </bottom>
                <vertical/>
                <horizontal/>
              </border>
            </x14:dxf>
          </x14:cfRule>
          <xm:sqref>N64:S64</xm:sqref>
        </x14:conditionalFormatting>
        <x14:conditionalFormatting xmlns:xm="http://schemas.microsoft.com/office/excel/2006/main">
          <x14:cfRule type="expression" priority="1130" id="{74BF6AB4-4ABE-453C-B3E5-BE12679CD5B4}">
            <xm:f>$S$8='Assessment Details'!$Q$23</xm:f>
            <x14:dxf>
              <font>
                <color theme="0"/>
              </font>
              <fill>
                <patternFill>
                  <bgColor theme="0"/>
                </patternFill>
              </fill>
              <border>
                <vertical/>
                <horizontal/>
              </border>
            </x14:dxf>
          </x14:cfRule>
          <xm:sqref>G64</xm:sqref>
        </x14:conditionalFormatting>
        <x14:conditionalFormatting xmlns:xm="http://schemas.microsoft.com/office/excel/2006/main">
          <x14:cfRule type="expression" priority="1129" id="{8B45EB01-FFD3-4C24-88F9-D8238CE5143B}">
            <xm:f>$S$8='Assessment Details'!$Q$23</xm:f>
            <x14:dxf>
              <border>
                <left style="thin">
                  <color theme="0"/>
                </left>
                <right style="thin">
                  <color theme="0"/>
                </right>
                <top style="thin">
                  <color theme="0"/>
                </top>
                <bottom style="thin">
                  <color theme="0"/>
                </bottom>
                <vertical/>
                <horizontal/>
              </border>
            </x14:dxf>
          </x14:cfRule>
          <xm:sqref>G64</xm:sqref>
        </x14:conditionalFormatting>
        <x14:conditionalFormatting xmlns:xm="http://schemas.microsoft.com/office/excel/2006/main">
          <x14:cfRule type="expression" priority="1128" id="{CBF5C216-270B-4918-BA3E-52FA360B4524}">
            <xm:f>$S$8='Assessment Details'!$Q$23</xm:f>
            <x14:dxf>
              <font>
                <color theme="0"/>
              </font>
              <fill>
                <patternFill>
                  <bgColor theme="0"/>
                </patternFill>
              </fill>
              <border>
                <vertical/>
                <horizontal/>
              </border>
            </x14:dxf>
          </x14:cfRule>
          <xm:sqref>U64</xm:sqref>
        </x14:conditionalFormatting>
        <x14:conditionalFormatting xmlns:xm="http://schemas.microsoft.com/office/excel/2006/main">
          <x14:cfRule type="expression" priority="1127" id="{3BA86F3E-1084-48B8-BAE0-F7699C420902}">
            <xm:f>$S$8='Assessment Details'!$Q$23</xm:f>
            <x14:dxf>
              <border>
                <left style="thin">
                  <color theme="0"/>
                </left>
                <right style="thin">
                  <color theme="0"/>
                </right>
                <top style="thin">
                  <color theme="0"/>
                </top>
                <bottom style="thin">
                  <color theme="0"/>
                </bottom>
                <vertical/>
                <horizontal/>
              </border>
            </x14:dxf>
          </x14:cfRule>
          <xm:sqref>U64</xm:sqref>
        </x14:conditionalFormatting>
        <x14:conditionalFormatting xmlns:xm="http://schemas.microsoft.com/office/excel/2006/main">
          <x14:cfRule type="expression" priority="1126" id="{72E64144-6FFD-48BF-A705-7EA30C4EFA31}">
            <xm:f>$S$8='Assessment Details'!$Q$23</xm:f>
            <x14:dxf>
              <font>
                <color theme="0"/>
              </font>
              <fill>
                <patternFill>
                  <bgColor theme="0"/>
                </patternFill>
              </fill>
              <border>
                <vertical/>
                <horizontal/>
              </border>
            </x14:dxf>
          </x14:cfRule>
          <xm:sqref>W64</xm:sqref>
        </x14:conditionalFormatting>
        <x14:conditionalFormatting xmlns:xm="http://schemas.microsoft.com/office/excel/2006/main">
          <x14:cfRule type="expression" priority="1125" id="{5DF2B492-F90B-4162-8AE4-E733DD748AE4}">
            <xm:f>$S$8='Assessment Details'!$Q$23</xm:f>
            <x14:dxf>
              <border>
                <left style="thin">
                  <color theme="0"/>
                </left>
                <right style="thin">
                  <color theme="0"/>
                </right>
                <top style="thin">
                  <color theme="0"/>
                </top>
                <bottom style="thin">
                  <color theme="0"/>
                </bottom>
                <vertical/>
                <horizontal/>
              </border>
            </x14:dxf>
          </x14:cfRule>
          <xm:sqref>W64</xm:sqref>
        </x14:conditionalFormatting>
        <x14:conditionalFormatting xmlns:xm="http://schemas.microsoft.com/office/excel/2006/main">
          <x14:cfRule type="expression" priority="1146" id="{DDE52D2E-1E3C-4979-8EC8-6DEE293965C2}">
            <xm:f>$Z$8='Assessment Details'!$Q$23</xm:f>
            <x14:dxf>
              <font>
                <color theme="0"/>
              </font>
              <fill>
                <patternFill>
                  <bgColor theme="0"/>
                </patternFill>
              </fill>
            </x14:dxf>
          </x14:cfRule>
          <xm:sqref>U64:Z64</xm:sqref>
        </x14:conditionalFormatting>
        <x14:conditionalFormatting xmlns:xm="http://schemas.microsoft.com/office/excel/2006/main">
          <x14:cfRule type="expression" priority="1147" id="{D7372E7F-6A45-4FAB-8CA3-6F4D54C418E7}">
            <xm:f>$Z$8='Assessment Details'!$Q$23</xm:f>
            <x14:dxf>
              <border>
                <left style="thin">
                  <color theme="0"/>
                </left>
                <right style="thin">
                  <color theme="0"/>
                </right>
                <top style="thin">
                  <color theme="0"/>
                </top>
                <bottom style="thin">
                  <color theme="0"/>
                </bottom>
                <vertical/>
                <horizontal/>
              </border>
            </x14:dxf>
          </x14:cfRule>
          <xm:sqref>U64:Z64</xm:sqref>
        </x14:conditionalFormatting>
        <x14:conditionalFormatting xmlns:xm="http://schemas.microsoft.com/office/excel/2006/main">
          <x14:cfRule type="expression" priority="1109" id="{28C3C2BD-E73D-4494-8B6F-8E058FE9734D}">
            <xm:f>$S$8='Assessment Details'!$Q$23</xm:f>
            <x14:dxf>
              <font>
                <color theme="0"/>
              </font>
              <fill>
                <patternFill>
                  <bgColor theme="0"/>
                </patternFill>
              </fill>
              <border>
                <vertical/>
                <horizontal/>
              </border>
            </x14:dxf>
          </x14:cfRule>
          <xm:sqref>N94:S94</xm:sqref>
        </x14:conditionalFormatting>
        <x14:conditionalFormatting xmlns:xm="http://schemas.microsoft.com/office/excel/2006/main">
          <x14:cfRule type="expression" priority="1108" id="{074C1696-F965-4065-A9BB-04540D9CEFC0}">
            <xm:f>$S$8='Assessment Details'!$Q$23</xm:f>
            <x14:dxf>
              <border>
                <left style="thin">
                  <color theme="0"/>
                </left>
                <right style="thin">
                  <color theme="0"/>
                </right>
                <top style="thin">
                  <color theme="0"/>
                </top>
                <bottom style="thin">
                  <color theme="0"/>
                </bottom>
                <vertical/>
                <horizontal/>
              </border>
            </x14:dxf>
          </x14:cfRule>
          <xm:sqref>N94:S94</xm:sqref>
        </x14:conditionalFormatting>
        <x14:conditionalFormatting xmlns:xm="http://schemas.microsoft.com/office/excel/2006/main">
          <x14:cfRule type="expression" priority="1107" id="{27722DD9-AEEA-49F7-8B9E-F80E4399173D}">
            <xm:f>$S$8='Assessment Details'!$Q$23</xm:f>
            <x14:dxf>
              <font>
                <color theme="0"/>
              </font>
              <fill>
                <patternFill>
                  <bgColor theme="0"/>
                </patternFill>
              </fill>
              <border>
                <vertical/>
                <horizontal/>
              </border>
            </x14:dxf>
          </x14:cfRule>
          <xm:sqref>G94</xm:sqref>
        </x14:conditionalFormatting>
        <x14:conditionalFormatting xmlns:xm="http://schemas.microsoft.com/office/excel/2006/main">
          <x14:cfRule type="expression" priority="1106" id="{DDFAADA0-5956-48C0-BB4B-E4386CCFDE34}">
            <xm:f>$S$8='Assessment Details'!$Q$23</xm:f>
            <x14:dxf>
              <border>
                <left style="thin">
                  <color theme="0"/>
                </left>
                <right style="thin">
                  <color theme="0"/>
                </right>
                <top style="thin">
                  <color theme="0"/>
                </top>
                <bottom style="thin">
                  <color theme="0"/>
                </bottom>
                <vertical/>
                <horizontal/>
              </border>
            </x14:dxf>
          </x14:cfRule>
          <xm:sqref>G94</xm:sqref>
        </x14:conditionalFormatting>
        <x14:conditionalFormatting xmlns:xm="http://schemas.microsoft.com/office/excel/2006/main">
          <x14:cfRule type="expression" priority="1105" id="{7626F755-BD30-4B95-8FF9-61BB470D4AE5}">
            <xm:f>$S$8='Assessment Details'!$Q$23</xm:f>
            <x14:dxf>
              <font>
                <color theme="0"/>
              </font>
              <fill>
                <patternFill>
                  <bgColor theme="0"/>
                </patternFill>
              </fill>
              <border>
                <vertical/>
                <horizontal/>
              </border>
            </x14:dxf>
          </x14:cfRule>
          <xm:sqref>U94</xm:sqref>
        </x14:conditionalFormatting>
        <x14:conditionalFormatting xmlns:xm="http://schemas.microsoft.com/office/excel/2006/main">
          <x14:cfRule type="expression" priority="1104" id="{9C1229C9-1672-47D2-ADE6-9A30C3F01FB3}">
            <xm:f>$S$8='Assessment Details'!$Q$23</xm:f>
            <x14:dxf>
              <border>
                <left style="thin">
                  <color theme="0"/>
                </left>
                <right style="thin">
                  <color theme="0"/>
                </right>
                <top style="thin">
                  <color theme="0"/>
                </top>
                <bottom style="thin">
                  <color theme="0"/>
                </bottom>
                <vertical/>
                <horizontal/>
              </border>
            </x14:dxf>
          </x14:cfRule>
          <xm:sqref>U94</xm:sqref>
        </x14:conditionalFormatting>
        <x14:conditionalFormatting xmlns:xm="http://schemas.microsoft.com/office/excel/2006/main">
          <x14:cfRule type="expression" priority="1103" id="{A0B802F6-4141-411F-848C-73D4DE6FF722}">
            <xm:f>$S$8='Assessment Details'!$Q$23</xm:f>
            <x14:dxf>
              <font>
                <color theme="0"/>
              </font>
              <fill>
                <patternFill>
                  <bgColor theme="0"/>
                </patternFill>
              </fill>
              <border>
                <vertical/>
                <horizontal/>
              </border>
            </x14:dxf>
          </x14:cfRule>
          <xm:sqref>W94</xm:sqref>
        </x14:conditionalFormatting>
        <x14:conditionalFormatting xmlns:xm="http://schemas.microsoft.com/office/excel/2006/main">
          <x14:cfRule type="expression" priority="1102" id="{F02BC133-491D-402D-AC41-2A263B5F9395}">
            <xm:f>$S$8='Assessment Details'!$Q$23</xm:f>
            <x14:dxf>
              <border>
                <left style="thin">
                  <color theme="0"/>
                </left>
                <right style="thin">
                  <color theme="0"/>
                </right>
                <top style="thin">
                  <color theme="0"/>
                </top>
                <bottom style="thin">
                  <color theme="0"/>
                </bottom>
                <vertical/>
                <horizontal/>
              </border>
            </x14:dxf>
          </x14:cfRule>
          <xm:sqref>W94</xm:sqref>
        </x14:conditionalFormatting>
        <x14:conditionalFormatting xmlns:xm="http://schemas.microsoft.com/office/excel/2006/main">
          <x14:cfRule type="expression" priority="1123" id="{ED122FC8-685A-4CD0-B196-3B87E709F630}">
            <xm:f>$Z$8='Assessment Details'!$Q$23</xm:f>
            <x14:dxf>
              <font>
                <color theme="0"/>
              </font>
              <fill>
                <patternFill>
                  <bgColor theme="0"/>
                </patternFill>
              </fill>
            </x14:dxf>
          </x14:cfRule>
          <xm:sqref>U94:Z94</xm:sqref>
        </x14:conditionalFormatting>
        <x14:conditionalFormatting xmlns:xm="http://schemas.microsoft.com/office/excel/2006/main">
          <x14:cfRule type="expression" priority="1124" id="{37BD6D06-D11A-49DB-8816-96940871D5C0}">
            <xm:f>$Z$8='Assessment Details'!$Q$23</xm:f>
            <x14:dxf>
              <border>
                <left style="thin">
                  <color theme="0"/>
                </left>
                <right style="thin">
                  <color theme="0"/>
                </right>
                <top style="thin">
                  <color theme="0"/>
                </top>
                <bottom style="thin">
                  <color theme="0"/>
                </bottom>
                <vertical/>
                <horizontal/>
              </border>
            </x14:dxf>
          </x14:cfRule>
          <xm:sqref>U94:Z94</xm:sqref>
        </x14:conditionalFormatting>
        <x14:conditionalFormatting xmlns:xm="http://schemas.microsoft.com/office/excel/2006/main">
          <x14:cfRule type="expression" priority="1086" id="{7AA700BF-8308-41D7-833B-82FD6E7F9262}">
            <xm:f>$S$8='Assessment Details'!$Q$23</xm:f>
            <x14:dxf>
              <font>
                <color theme="0"/>
              </font>
              <fill>
                <patternFill>
                  <bgColor theme="0"/>
                </patternFill>
              </fill>
              <border>
                <vertical/>
                <horizontal/>
              </border>
            </x14:dxf>
          </x14:cfRule>
          <xm:sqref>N103:S103</xm:sqref>
        </x14:conditionalFormatting>
        <x14:conditionalFormatting xmlns:xm="http://schemas.microsoft.com/office/excel/2006/main">
          <x14:cfRule type="expression" priority="1085" id="{0FA4A83B-69D5-4C51-A6A3-5A737EA07BE0}">
            <xm:f>$S$8='Assessment Details'!$Q$23</xm:f>
            <x14:dxf>
              <border>
                <left style="thin">
                  <color theme="0"/>
                </left>
                <right style="thin">
                  <color theme="0"/>
                </right>
                <top style="thin">
                  <color theme="0"/>
                </top>
                <bottom style="thin">
                  <color theme="0"/>
                </bottom>
                <vertical/>
                <horizontal/>
              </border>
            </x14:dxf>
          </x14:cfRule>
          <xm:sqref>N103:S103</xm:sqref>
        </x14:conditionalFormatting>
        <x14:conditionalFormatting xmlns:xm="http://schemas.microsoft.com/office/excel/2006/main">
          <x14:cfRule type="expression" priority="1084" id="{F21151FC-D5C3-42E0-9A86-C2A9031DC0EB}">
            <xm:f>$S$8='Assessment Details'!$Q$23</xm:f>
            <x14:dxf>
              <font>
                <color theme="0"/>
              </font>
              <fill>
                <patternFill>
                  <bgColor theme="0"/>
                </patternFill>
              </fill>
              <border>
                <vertical/>
                <horizontal/>
              </border>
            </x14:dxf>
          </x14:cfRule>
          <xm:sqref>G103</xm:sqref>
        </x14:conditionalFormatting>
        <x14:conditionalFormatting xmlns:xm="http://schemas.microsoft.com/office/excel/2006/main">
          <x14:cfRule type="expression" priority="1083" id="{E0C6D475-8D15-4C28-B210-641FF14B3A49}">
            <xm:f>$S$8='Assessment Details'!$Q$23</xm:f>
            <x14:dxf>
              <border>
                <left style="thin">
                  <color theme="0"/>
                </left>
                <right style="thin">
                  <color theme="0"/>
                </right>
                <top style="thin">
                  <color theme="0"/>
                </top>
                <bottom style="thin">
                  <color theme="0"/>
                </bottom>
                <vertical/>
                <horizontal/>
              </border>
            </x14:dxf>
          </x14:cfRule>
          <xm:sqref>G103</xm:sqref>
        </x14:conditionalFormatting>
        <x14:conditionalFormatting xmlns:xm="http://schemas.microsoft.com/office/excel/2006/main">
          <x14:cfRule type="expression" priority="1082" id="{33965755-1D96-4E8D-83F2-5EC690BE09B0}">
            <xm:f>$S$8='Assessment Details'!$Q$23</xm:f>
            <x14:dxf>
              <font>
                <color theme="0"/>
              </font>
              <fill>
                <patternFill>
                  <bgColor theme="0"/>
                </patternFill>
              </fill>
              <border>
                <vertical/>
                <horizontal/>
              </border>
            </x14:dxf>
          </x14:cfRule>
          <xm:sqref>U103</xm:sqref>
        </x14:conditionalFormatting>
        <x14:conditionalFormatting xmlns:xm="http://schemas.microsoft.com/office/excel/2006/main">
          <x14:cfRule type="expression" priority="1081" id="{81DA8577-C4D2-4D60-B1A7-4DBDA5DD5CE0}">
            <xm:f>$S$8='Assessment Details'!$Q$23</xm:f>
            <x14:dxf>
              <border>
                <left style="thin">
                  <color theme="0"/>
                </left>
                <right style="thin">
                  <color theme="0"/>
                </right>
                <top style="thin">
                  <color theme="0"/>
                </top>
                <bottom style="thin">
                  <color theme="0"/>
                </bottom>
                <vertical/>
                <horizontal/>
              </border>
            </x14:dxf>
          </x14:cfRule>
          <xm:sqref>U103</xm:sqref>
        </x14:conditionalFormatting>
        <x14:conditionalFormatting xmlns:xm="http://schemas.microsoft.com/office/excel/2006/main">
          <x14:cfRule type="expression" priority="1080" id="{C3E2AB4D-853E-4EE3-A770-FB3D4DC5CFB8}">
            <xm:f>$S$8='Assessment Details'!$Q$23</xm:f>
            <x14:dxf>
              <font>
                <color theme="0"/>
              </font>
              <fill>
                <patternFill>
                  <bgColor theme="0"/>
                </patternFill>
              </fill>
              <border>
                <vertical/>
                <horizontal/>
              </border>
            </x14:dxf>
          </x14:cfRule>
          <xm:sqref>W103</xm:sqref>
        </x14:conditionalFormatting>
        <x14:conditionalFormatting xmlns:xm="http://schemas.microsoft.com/office/excel/2006/main">
          <x14:cfRule type="expression" priority="1079" id="{22F2B09E-E77C-4A35-9724-B076655A268F}">
            <xm:f>$S$8='Assessment Details'!$Q$23</xm:f>
            <x14:dxf>
              <border>
                <left style="thin">
                  <color theme="0"/>
                </left>
                <right style="thin">
                  <color theme="0"/>
                </right>
                <top style="thin">
                  <color theme="0"/>
                </top>
                <bottom style="thin">
                  <color theme="0"/>
                </bottom>
                <vertical/>
                <horizontal/>
              </border>
            </x14:dxf>
          </x14:cfRule>
          <xm:sqref>W103</xm:sqref>
        </x14:conditionalFormatting>
        <x14:conditionalFormatting xmlns:xm="http://schemas.microsoft.com/office/excel/2006/main">
          <x14:cfRule type="expression" priority="1100" id="{0253E361-59AA-4EF7-B5FB-2B4A9F3133B7}">
            <xm:f>$Z$8='Assessment Details'!$Q$23</xm:f>
            <x14:dxf>
              <font>
                <color theme="0"/>
              </font>
              <fill>
                <patternFill>
                  <bgColor theme="0"/>
                </patternFill>
              </fill>
            </x14:dxf>
          </x14:cfRule>
          <xm:sqref>U103:Z103</xm:sqref>
        </x14:conditionalFormatting>
        <x14:conditionalFormatting xmlns:xm="http://schemas.microsoft.com/office/excel/2006/main">
          <x14:cfRule type="expression" priority="1101" id="{A6659ED7-93B4-4CE8-A9C7-02A05248F6FE}">
            <xm:f>$Z$8='Assessment Details'!$Q$23</xm:f>
            <x14:dxf>
              <border>
                <left style="thin">
                  <color theme="0"/>
                </left>
                <right style="thin">
                  <color theme="0"/>
                </right>
                <top style="thin">
                  <color theme="0"/>
                </top>
                <bottom style="thin">
                  <color theme="0"/>
                </bottom>
                <vertical/>
                <horizontal/>
              </border>
            </x14:dxf>
          </x14:cfRule>
          <xm:sqref>U103:Z103</xm:sqref>
        </x14:conditionalFormatting>
        <x14:conditionalFormatting xmlns:xm="http://schemas.microsoft.com/office/excel/2006/main">
          <x14:cfRule type="expression" priority="902" id="{9C42B326-4946-45BE-9FA3-67FDB0291C68}">
            <xm:f>$S$8='Assessment Details'!$Q$23</xm:f>
            <x14:dxf>
              <font>
                <color theme="0"/>
              </font>
              <fill>
                <patternFill>
                  <bgColor theme="0"/>
                </patternFill>
              </fill>
              <border>
                <vertical/>
                <horizontal/>
              </border>
            </x14:dxf>
          </x14:cfRule>
          <xm:sqref>N39:S40 N42:S63</xm:sqref>
        </x14:conditionalFormatting>
        <x14:conditionalFormatting xmlns:xm="http://schemas.microsoft.com/office/excel/2006/main">
          <x14:cfRule type="expression" priority="901" id="{5D6CE809-3ABC-4CAA-9C25-4DCB04855D26}">
            <xm:f>$S$8='Assessment Details'!$Q$23</xm:f>
            <x14:dxf>
              <border>
                <left style="thin">
                  <color theme="0"/>
                </left>
                <right style="thin">
                  <color theme="0"/>
                </right>
                <top style="thin">
                  <color theme="0"/>
                </top>
                <bottom style="thin">
                  <color theme="0"/>
                </bottom>
                <vertical/>
                <horizontal/>
              </border>
            </x14:dxf>
          </x14:cfRule>
          <xm:sqref>N39:S40 N42:S63</xm:sqref>
        </x14:conditionalFormatting>
        <x14:conditionalFormatting xmlns:xm="http://schemas.microsoft.com/office/excel/2006/main">
          <x14:cfRule type="expression" priority="900" id="{3EB1206A-4193-4D0A-B517-6ACDCEB1C113}">
            <xm:f>$S$8='Assessment Details'!$Q$23</xm:f>
            <x14:dxf>
              <font>
                <color theme="0"/>
              </font>
              <fill>
                <patternFill>
                  <bgColor theme="0"/>
                </patternFill>
              </fill>
              <border>
                <vertical/>
                <horizontal/>
              </border>
            </x14:dxf>
          </x14:cfRule>
          <xm:sqref>G39:G40 G42:G63</xm:sqref>
        </x14:conditionalFormatting>
        <x14:conditionalFormatting xmlns:xm="http://schemas.microsoft.com/office/excel/2006/main">
          <x14:cfRule type="expression" priority="899" id="{30E26A2C-1B8E-48F0-BA66-8AFE45EE3DF2}">
            <xm:f>$S$8='Assessment Details'!$Q$23</xm:f>
            <x14:dxf>
              <border>
                <left style="thin">
                  <color theme="0"/>
                </left>
                <right style="thin">
                  <color theme="0"/>
                </right>
                <top style="thin">
                  <color theme="0"/>
                </top>
                <bottom style="thin">
                  <color theme="0"/>
                </bottom>
                <vertical/>
                <horizontal/>
              </border>
            </x14:dxf>
          </x14:cfRule>
          <xm:sqref>G39:G40 G42:G63</xm:sqref>
        </x14:conditionalFormatting>
        <x14:conditionalFormatting xmlns:xm="http://schemas.microsoft.com/office/excel/2006/main">
          <x14:cfRule type="expression" priority="898" id="{7B8499D6-4B13-49D3-B4C8-E519E69B9855}">
            <xm:f>$S$8='Assessment Details'!$Q$23</xm:f>
            <x14:dxf>
              <font>
                <color theme="0"/>
              </font>
              <fill>
                <patternFill>
                  <bgColor theme="0"/>
                </patternFill>
              </fill>
              <border>
                <vertical/>
                <horizontal/>
              </border>
            </x14:dxf>
          </x14:cfRule>
          <xm:sqref>U39:U40 U42:U63</xm:sqref>
        </x14:conditionalFormatting>
        <x14:conditionalFormatting xmlns:xm="http://schemas.microsoft.com/office/excel/2006/main">
          <x14:cfRule type="expression" priority="897" id="{A117033E-E655-4A44-BFA9-08E218A7EB1E}">
            <xm:f>$S$8='Assessment Details'!$Q$23</xm:f>
            <x14:dxf>
              <border>
                <left style="thin">
                  <color theme="0"/>
                </left>
                <right style="thin">
                  <color theme="0"/>
                </right>
                <top style="thin">
                  <color theme="0"/>
                </top>
                <bottom style="thin">
                  <color theme="0"/>
                </bottom>
                <vertical/>
                <horizontal/>
              </border>
            </x14:dxf>
          </x14:cfRule>
          <xm:sqref>U39:U40 U42:U63</xm:sqref>
        </x14:conditionalFormatting>
        <x14:conditionalFormatting xmlns:xm="http://schemas.microsoft.com/office/excel/2006/main">
          <x14:cfRule type="expression" priority="892" id="{58BBA893-EE42-479E-A228-CEB617BB1DFE}">
            <xm:f>$S$8='Assessment Details'!$Q$23</xm:f>
            <x14:dxf>
              <font>
                <color theme="0"/>
              </font>
              <fill>
                <patternFill>
                  <bgColor theme="0"/>
                </patternFill>
              </fill>
              <border>
                <vertical/>
                <horizontal/>
              </border>
            </x14:dxf>
          </x14:cfRule>
          <xm:sqref>N39:N40 N42:N63</xm:sqref>
        </x14:conditionalFormatting>
        <x14:conditionalFormatting xmlns:xm="http://schemas.microsoft.com/office/excel/2006/main">
          <x14:cfRule type="expression" priority="891" id="{60E74A6C-F277-4877-A9A1-CD29765B9645}">
            <xm:f>$S$8='Assessment Details'!$Q$23</xm:f>
            <x14:dxf>
              <border>
                <left style="thin">
                  <color theme="0"/>
                </left>
                <right style="thin">
                  <color theme="0"/>
                </right>
                <top style="thin">
                  <color theme="0"/>
                </top>
                <bottom style="thin">
                  <color theme="0"/>
                </bottom>
                <vertical/>
                <horizontal/>
              </border>
            </x14:dxf>
          </x14:cfRule>
          <xm:sqref>N39:N40 N42:N63</xm:sqref>
        </x14:conditionalFormatting>
        <x14:conditionalFormatting xmlns:xm="http://schemas.microsoft.com/office/excel/2006/main">
          <x14:cfRule type="expression" priority="886" id="{BB31C667-15BE-44DF-8F3B-9A880991D59B}">
            <xm:f>$S$8='Assessment Details'!$Q$23</xm:f>
            <x14:dxf>
              <font>
                <color theme="0"/>
              </font>
              <fill>
                <patternFill>
                  <bgColor theme="0"/>
                </patternFill>
              </fill>
              <border>
                <vertical/>
                <horizontal/>
              </border>
            </x14:dxf>
          </x14:cfRule>
          <xm:sqref>U39:U40 U42:U63</xm:sqref>
        </x14:conditionalFormatting>
        <x14:conditionalFormatting xmlns:xm="http://schemas.microsoft.com/office/excel/2006/main">
          <x14:cfRule type="expression" priority="885" id="{24CC7E33-6DA0-4FC9-B3D0-1954DB89AA81}">
            <xm:f>$S$8='Assessment Details'!$Q$23</xm:f>
            <x14:dxf>
              <border>
                <left style="thin">
                  <color theme="0"/>
                </left>
                <right style="thin">
                  <color theme="0"/>
                </right>
                <top style="thin">
                  <color theme="0"/>
                </top>
                <bottom style="thin">
                  <color theme="0"/>
                </bottom>
                <vertical/>
                <horizontal/>
              </border>
            </x14:dxf>
          </x14:cfRule>
          <xm:sqref>U39:U40 U42:U63</xm:sqref>
        </x14:conditionalFormatting>
        <x14:conditionalFormatting xmlns:xm="http://schemas.microsoft.com/office/excel/2006/main">
          <x14:cfRule type="expression" priority="884" id="{929D4BA1-9A0C-4A8B-A3B4-6BCE04D15D41}">
            <xm:f>$S$8='Assessment Details'!$Q$23</xm:f>
            <x14:dxf>
              <font>
                <color theme="0"/>
              </font>
              <fill>
                <patternFill>
                  <bgColor theme="0"/>
                </patternFill>
              </fill>
              <border>
                <vertical/>
                <horizontal/>
              </border>
            </x14:dxf>
          </x14:cfRule>
          <xm:sqref>W39:W40 W42:W63</xm:sqref>
        </x14:conditionalFormatting>
        <x14:conditionalFormatting xmlns:xm="http://schemas.microsoft.com/office/excel/2006/main">
          <x14:cfRule type="expression" priority="883" id="{88D20FA6-DEF5-489A-861F-47DA95BA509C}">
            <xm:f>$S$8='Assessment Details'!$Q$23</xm:f>
            <x14:dxf>
              <border>
                <left style="thin">
                  <color theme="0"/>
                </left>
                <right style="thin">
                  <color theme="0"/>
                </right>
                <top style="thin">
                  <color theme="0"/>
                </top>
                <bottom style="thin">
                  <color theme="0"/>
                </bottom>
                <vertical/>
                <horizontal/>
              </border>
            </x14:dxf>
          </x14:cfRule>
          <xm:sqref>W39:W40 W42:W63</xm:sqref>
        </x14:conditionalFormatting>
        <x14:conditionalFormatting xmlns:xm="http://schemas.microsoft.com/office/excel/2006/main">
          <x14:cfRule type="expression" priority="916" id="{C66728D3-1D28-4219-89FD-72DCBD8DE62E}">
            <xm:f>$Z$8='Assessment Details'!$Q$23</xm:f>
            <x14:dxf>
              <font>
                <color theme="0"/>
              </font>
              <fill>
                <patternFill>
                  <bgColor theme="0"/>
                </patternFill>
              </fill>
            </x14:dxf>
          </x14:cfRule>
          <xm:sqref>U39:Z40 U42:Z63</xm:sqref>
        </x14:conditionalFormatting>
        <x14:conditionalFormatting xmlns:xm="http://schemas.microsoft.com/office/excel/2006/main">
          <x14:cfRule type="expression" priority="917" id="{57837F53-3A9F-4F0C-854D-8A4F5A398BCE}">
            <xm:f>$Z$8='Assessment Details'!$Q$23</xm:f>
            <x14:dxf>
              <border>
                <left style="thin">
                  <color theme="0"/>
                </left>
                <right style="thin">
                  <color theme="0"/>
                </right>
                <top style="thin">
                  <color theme="0"/>
                </top>
                <bottom style="thin">
                  <color theme="0"/>
                </bottom>
                <vertical/>
                <horizontal/>
              </border>
            </x14:dxf>
          </x14:cfRule>
          <xm:sqref>U39:Z40 U42:Z63</xm:sqref>
        </x14:conditionalFormatting>
        <x14:conditionalFormatting xmlns:xm="http://schemas.microsoft.com/office/excel/2006/main">
          <x14:cfRule type="expression" priority="867" id="{4FCADA7D-A197-4415-9BA2-3504C54CD72D}">
            <xm:f>$S$8='Assessment Details'!$Q$23</xm:f>
            <x14:dxf>
              <font>
                <color theme="0"/>
              </font>
              <fill>
                <patternFill>
                  <bgColor theme="0"/>
                </patternFill>
              </fill>
              <border>
                <vertical/>
                <horizontal/>
              </border>
            </x14:dxf>
          </x14:cfRule>
          <xm:sqref>N67:S71</xm:sqref>
        </x14:conditionalFormatting>
        <x14:conditionalFormatting xmlns:xm="http://schemas.microsoft.com/office/excel/2006/main">
          <x14:cfRule type="expression" priority="866" id="{FB2B46D0-D2BC-403B-922F-12790164563A}">
            <xm:f>$S$8='Assessment Details'!$Q$23</xm:f>
            <x14:dxf>
              <border>
                <left style="thin">
                  <color theme="0"/>
                </left>
                <right style="thin">
                  <color theme="0"/>
                </right>
                <top style="thin">
                  <color theme="0"/>
                </top>
                <bottom style="thin">
                  <color theme="0"/>
                </bottom>
                <vertical/>
                <horizontal/>
              </border>
            </x14:dxf>
          </x14:cfRule>
          <xm:sqref>N67:S71</xm:sqref>
        </x14:conditionalFormatting>
        <x14:conditionalFormatting xmlns:xm="http://schemas.microsoft.com/office/excel/2006/main">
          <x14:cfRule type="expression" priority="865" id="{E2A84904-571E-4F8D-95B1-9B870836F8EA}">
            <xm:f>$S$8='Assessment Details'!$Q$23</xm:f>
            <x14:dxf>
              <font>
                <color theme="0"/>
              </font>
              <fill>
                <patternFill>
                  <bgColor theme="0"/>
                </patternFill>
              </fill>
              <border>
                <vertical/>
                <horizontal/>
              </border>
            </x14:dxf>
          </x14:cfRule>
          <xm:sqref>G67:G71</xm:sqref>
        </x14:conditionalFormatting>
        <x14:conditionalFormatting xmlns:xm="http://schemas.microsoft.com/office/excel/2006/main">
          <x14:cfRule type="expression" priority="864" id="{EA486EF2-13DC-46B1-BF5A-E0AB6C967967}">
            <xm:f>$S$8='Assessment Details'!$Q$23</xm:f>
            <x14:dxf>
              <border>
                <left style="thin">
                  <color theme="0"/>
                </left>
                <right style="thin">
                  <color theme="0"/>
                </right>
                <top style="thin">
                  <color theme="0"/>
                </top>
                <bottom style="thin">
                  <color theme="0"/>
                </bottom>
                <vertical/>
                <horizontal/>
              </border>
            </x14:dxf>
          </x14:cfRule>
          <xm:sqref>G67:G71</xm:sqref>
        </x14:conditionalFormatting>
        <x14:conditionalFormatting xmlns:xm="http://schemas.microsoft.com/office/excel/2006/main">
          <x14:cfRule type="expression" priority="863" id="{15950DC4-CC84-44B1-AC60-7AF91F1FDD6F}">
            <xm:f>$S$8='Assessment Details'!$Q$23</xm:f>
            <x14:dxf>
              <font>
                <color theme="0"/>
              </font>
              <fill>
                <patternFill>
                  <bgColor theme="0"/>
                </patternFill>
              </fill>
              <border>
                <vertical/>
                <horizontal/>
              </border>
            </x14:dxf>
          </x14:cfRule>
          <xm:sqref>U67:U71</xm:sqref>
        </x14:conditionalFormatting>
        <x14:conditionalFormatting xmlns:xm="http://schemas.microsoft.com/office/excel/2006/main">
          <x14:cfRule type="expression" priority="862" id="{B667FFB4-5A4F-4B9A-90AD-6C8824424B54}">
            <xm:f>$S$8='Assessment Details'!$Q$23</xm:f>
            <x14:dxf>
              <border>
                <left style="thin">
                  <color theme="0"/>
                </left>
                <right style="thin">
                  <color theme="0"/>
                </right>
                <top style="thin">
                  <color theme="0"/>
                </top>
                <bottom style="thin">
                  <color theme="0"/>
                </bottom>
                <vertical/>
                <horizontal/>
              </border>
            </x14:dxf>
          </x14:cfRule>
          <xm:sqref>U67:U71</xm:sqref>
        </x14:conditionalFormatting>
        <x14:conditionalFormatting xmlns:xm="http://schemas.microsoft.com/office/excel/2006/main">
          <x14:cfRule type="expression" priority="857" id="{62E45316-1115-49E1-B404-4F808D4A7630}">
            <xm:f>$S$8='Assessment Details'!$Q$23</xm:f>
            <x14:dxf>
              <font>
                <color theme="0"/>
              </font>
              <fill>
                <patternFill>
                  <bgColor theme="0"/>
                </patternFill>
              </fill>
              <border>
                <vertical/>
                <horizontal/>
              </border>
            </x14:dxf>
          </x14:cfRule>
          <xm:sqref>N67:N71</xm:sqref>
        </x14:conditionalFormatting>
        <x14:conditionalFormatting xmlns:xm="http://schemas.microsoft.com/office/excel/2006/main">
          <x14:cfRule type="expression" priority="856" id="{EE69091F-85CF-4D4C-87ED-CA760913C1BA}">
            <xm:f>$S$8='Assessment Details'!$Q$23</xm:f>
            <x14:dxf>
              <border>
                <left style="thin">
                  <color theme="0"/>
                </left>
                <right style="thin">
                  <color theme="0"/>
                </right>
                <top style="thin">
                  <color theme="0"/>
                </top>
                <bottom style="thin">
                  <color theme="0"/>
                </bottom>
                <vertical/>
                <horizontal/>
              </border>
            </x14:dxf>
          </x14:cfRule>
          <xm:sqref>N67:N71</xm:sqref>
        </x14:conditionalFormatting>
        <x14:conditionalFormatting xmlns:xm="http://schemas.microsoft.com/office/excel/2006/main">
          <x14:cfRule type="expression" priority="851" id="{23C69510-D6C1-47E6-A291-45444BED47B6}">
            <xm:f>$S$8='Assessment Details'!$Q$23</xm:f>
            <x14:dxf>
              <font>
                <color theme="0"/>
              </font>
              <fill>
                <patternFill>
                  <bgColor theme="0"/>
                </patternFill>
              </fill>
              <border>
                <vertical/>
                <horizontal/>
              </border>
            </x14:dxf>
          </x14:cfRule>
          <xm:sqref>U67:U71</xm:sqref>
        </x14:conditionalFormatting>
        <x14:conditionalFormatting xmlns:xm="http://schemas.microsoft.com/office/excel/2006/main">
          <x14:cfRule type="expression" priority="850" id="{0C34D3B8-4096-4716-9C2A-64A7B6470AFB}">
            <xm:f>$S$8='Assessment Details'!$Q$23</xm:f>
            <x14:dxf>
              <border>
                <left style="thin">
                  <color theme="0"/>
                </left>
                <right style="thin">
                  <color theme="0"/>
                </right>
                <top style="thin">
                  <color theme="0"/>
                </top>
                <bottom style="thin">
                  <color theme="0"/>
                </bottom>
                <vertical/>
                <horizontal/>
              </border>
            </x14:dxf>
          </x14:cfRule>
          <xm:sqref>U67:U71</xm:sqref>
        </x14:conditionalFormatting>
        <x14:conditionalFormatting xmlns:xm="http://schemas.microsoft.com/office/excel/2006/main">
          <x14:cfRule type="expression" priority="849" id="{91C3642B-20F9-48C8-BBCE-E25B520CAF1E}">
            <xm:f>$S$8='Assessment Details'!$Q$23</xm:f>
            <x14:dxf>
              <font>
                <color theme="0"/>
              </font>
              <fill>
                <patternFill>
                  <bgColor theme="0"/>
                </patternFill>
              </fill>
              <border>
                <vertical/>
                <horizontal/>
              </border>
            </x14:dxf>
          </x14:cfRule>
          <xm:sqref>W67:W71</xm:sqref>
        </x14:conditionalFormatting>
        <x14:conditionalFormatting xmlns:xm="http://schemas.microsoft.com/office/excel/2006/main">
          <x14:cfRule type="expression" priority="848" id="{07FA1C11-BD85-4132-BD42-DA6D5718C888}">
            <xm:f>$S$8='Assessment Details'!$Q$23</xm:f>
            <x14:dxf>
              <border>
                <left style="thin">
                  <color theme="0"/>
                </left>
                <right style="thin">
                  <color theme="0"/>
                </right>
                <top style="thin">
                  <color theme="0"/>
                </top>
                <bottom style="thin">
                  <color theme="0"/>
                </bottom>
                <vertical/>
                <horizontal/>
              </border>
            </x14:dxf>
          </x14:cfRule>
          <xm:sqref>W67:W71</xm:sqref>
        </x14:conditionalFormatting>
        <x14:conditionalFormatting xmlns:xm="http://schemas.microsoft.com/office/excel/2006/main">
          <x14:cfRule type="expression" priority="881" id="{C3B53F49-D624-4668-A88D-CC265C4732FF}">
            <xm:f>$Z$8='Assessment Details'!$Q$23</xm:f>
            <x14:dxf>
              <font>
                <color theme="0"/>
              </font>
              <fill>
                <patternFill>
                  <bgColor theme="0"/>
                </patternFill>
              </fill>
            </x14:dxf>
          </x14:cfRule>
          <xm:sqref>U67:Z71</xm:sqref>
        </x14:conditionalFormatting>
        <x14:conditionalFormatting xmlns:xm="http://schemas.microsoft.com/office/excel/2006/main">
          <x14:cfRule type="expression" priority="882" id="{DB88EE05-05EF-43A8-9AA0-6A823E6BC540}">
            <xm:f>$Z$8='Assessment Details'!$Q$23</xm:f>
            <x14:dxf>
              <border>
                <left style="thin">
                  <color theme="0"/>
                </left>
                <right style="thin">
                  <color theme="0"/>
                </right>
                <top style="thin">
                  <color theme="0"/>
                </top>
                <bottom style="thin">
                  <color theme="0"/>
                </bottom>
                <vertical/>
                <horizontal/>
              </border>
            </x14:dxf>
          </x14:cfRule>
          <xm:sqref>U67:Z71</xm:sqref>
        </x14:conditionalFormatting>
        <x14:conditionalFormatting xmlns:xm="http://schemas.microsoft.com/office/excel/2006/main">
          <x14:cfRule type="expression" priority="832" id="{1BD591E1-08F2-4CEF-981B-4CB9B55473D0}">
            <xm:f>$S$8='Assessment Details'!$Q$23</xm:f>
            <x14:dxf>
              <font>
                <color theme="0"/>
              </font>
              <fill>
                <patternFill>
                  <bgColor theme="0"/>
                </patternFill>
              </fill>
              <border>
                <vertical/>
                <horizontal/>
              </border>
            </x14:dxf>
          </x14:cfRule>
          <xm:sqref>N97:S102</xm:sqref>
        </x14:conditionalFormatting>
        <x14:conditionalFormatting xmlns:xm="http://schemas.microsoft.com/office/excel/2006/main">
          <x14:cfRule type="expression" priority="831" id="{9F776836-5CD3-462B-9032-6508E16C50BC}">
            <xm:f>$S$8='Assessment Details'!$Q$23</xm:f>
            <x14:dxf>
              <border>
                <left style="thin">
                  <color theme="0"/>
                </left>
                <right style="thin">
                  <color theme="0"/>
                </right>
                <top style="thin">
                  <color theme="0"/>
                </top>
                <bottom style="thin">
                  <color theme="0"/>
                </bottom>
                <vertical/>
                <horizontal/>
              </border>
            </x14:dxf>
          </x14:cfRule>
          <xm:sqref>N97:S102</xm:sqref>
        </x14:conditionalFormatting>
        <x14:conditionalFormatting xmlns:xm="http://schemas.microsoft.com/office/excel/2006/main">
          <x14:cfRule type="expression" priority="830" id="{E06107F4-0797-42C3-AF12-3E69A082790E}">
            <xm:f>$S$8='Assessment Details'!$Q$23</xm:f>
            <x14:dxf>
              <font>
                <color theme="0"/>
              </font>
              <fill>
                <patternFill>
                  <bgColor theme="0"/>
                </patternFill>
              </fill>
              <border>
                <vertical/>
                <horizontal/>
              </border>
            </x14:dxf>
          </x14:cfRule>
          <xm:sqref>G97:G102</xm:sqref>
        </x14:conditionalFormatting>
        <x14:conditionalFormatting xmlns:xm="http://schemas.microsoft.com/office/excel/2006/main">
          <x14:cfRule type="expression" priority="829" id="{00C83373-3E86-4A05-A623-37C5B664E25B}">
            <xm:f>$S$8='Assessment Details'!$Q$23</xm:f>
            <x14:dxf>
              <border>
                <left style="thin">
                  <color theme="0"/>
                </left>
                <right style="thin">
                  <color theme="0"/>
                </right>
                <top style="thin">
                  <color theme="0"/>
                </top>
                <bottom style="thin">
                  <color theme="0"/>
                </bottom>
                <vertical/>
                <horizontal/>
              </border>
            </x14:dxf>
          </x14:cfRule>
          <xm:sqref>G97:G102</xm:sqref>
        </x14:conditionalFormatting>
        <x14:conditionalFormatting xmlns:xm="http://schemas.microsoft.com/office/excel/2006/main">
          <x14:cfRule type="expression" priority="828" id="{5961EE5E-4BD1-4B3C-9C32-851077EA884D}">
            <xm:f>$S$8='Assessment Details'!$Q$23</xm:f>
            <x14:dxf>
              <font>
                <color theme="0"/>
              </font>
              <fill>
                <patternFill>
                  <bgColor theme="0"/>
                </patternFill>
              </fill>
              <border>
                <vertical/>
                <horizontal/>
              </border>
            </x14:dxf>
          </x14:cfRule>
          <xm:sqref>U97:U102</xm:sqref>
        </x14:conditionalFormatting>
        <x14:conditionalFormatting xmlns:xm="http://schemas.microsoft.com/office/excel/2006/main">
          <x14:cfRule type="expression" priority="827" id="{333D927D-615B-45D6-87AC-469DC68A1A11}">
            <xm:f>$S$8='Assessment Details'!$Q$23</xm:f>
            <x14:dxf>
              <border>
                <left style="thin">
                  <color theme="0"/>
                </left>
                <right style="thin">
                  <color theme="0"/>
                </right>
                <top style="thin">
                  <color theme="0"/>
                </top>
                <bottom style="thin">
                  <color theme="0"/>
                </bottom>
                <vertical/>
                <horizontal/>
              </border>
            </x14:dxf>
          </x14:cfRule>
          <xm:sqref>U97:U102</xm:sqref>
        </x14:conditionalFormatting>
        <x14:conditionalFormatting xmlns:xm="http://schemas.microsoft.com/office/excel/2006/main">
          <x14:cfRule type="expression" priority="822" id="{E6B6E013-951B-4DFA-97E6-BCEE0A6E2E5A}">
            <xm:f>$S$8='Assessment Details'!$Q$23</xm:f>
            <x14:dxf>
              <font>
                <color theme="0"/>
              </font>
              <fill>
                <patternFill>
                  <bgColor theme="0"/>
                </patternFill>
              </fill>
              <border>
                <vertical/>
                <horizontal/>
              </border>
            </x14:dxf>
          </x14:cfRule>
          <xm:sqref>N97:N102</xm:sqref>
        </x14:conditionalFormatting>
        <x14:conditionalFormatting xmlns:xm="http://schemas.microsoft.com/office/excel/2006/main">
          <x14:cfRule type="expression" priority="821" id="{DB63DD7B-A191-4D5E-A766-8ED092A8AD25}">
            <xm:f>$S$8='Assessment Details'!$Q$23</xm:f>
            <x14:dxf>
              <border>
                <left style="thin">
                  <color theme="0"/>
                </left>
                <right style="thin">
                  <color theme="0"/>
                </right>
                <top style="thin">
                  <color theme="0"/>
                </top>
                <bottom style="thin">
                  <color theme="0"/>
                </bottom>
                <vertical/>
                <horizontal/>
              </border>
            </x14:dxf>
          </x14:cfRule>
          <xm:sqref>N97:N102</xm:sqref>
        </x14:conditionalFormatting>
        <x14:conditionalFormatting xmlns:xm="http://schemas.microsoft.com/office/excel/2006/main">
          <x14:cfRule type="expression" priority="816" id="{F7F980A3-F13E-48B5-8235-DF2D2320CBA3}">
            <xm:f>$S$8='Assessment Details'!$Q$23</xm:f>
            <x14:dxf>
              <font>
                <color theme="0"/>
              </font>
              <fill>
                <patternFill>
                  <bgColor theme="0"/>
                </patternFill>
              </fill>
              <border>
                <vertical/>
                <horizontal/>
              </border>
            </x14:dxf>
          </x14:cfRule>
          <xm:sqref>U97:U102</xm:sqref>
        </x14:conditionalFormatting>
        <x14:conditionalFormatting xmlns:xm="http://schemas.microsoft.com/office/excel/2006/main">
          <x14:cfRule type="expression" priority="815" id="{EDE00C90-27FD-4C1B-8983-B51F2271A337}">
            <xm:f>$S$8='Assessment Details'!$Q$23</xm:f>
            <x14:dxf>
              <border>
                <left style="thin">
                  <color theme="0"/>
                </left>
                <right style="thin">
                  <color theme="0"/>
                </right>
                <top style="thin">
                  <color theme="0"/>
                </top>
                <bottom style="thin">
                  <color theme="0"/>
                </bottom>
                <vertical/>
                <horizontal/>
              </border>
            </x14:dxf>
          </x14:cfRule>
          <xm:sqref>U97:U102</xm:sqref>
        </x14:conditionalFormatting>
        <x14:conditionalFormatting xmlns:xm="http://schemas.microsoft.com/office/excel/2006/main">
          <x14:cfRule type="expression" priority="814" id="{45013F25-A8CD-4875-A8F3-EDB96D31D8DB}">
            <xm:f>$S$8='Assessment Details'!$Q$23</xm:f>
            <x14:dxf>
              <font>
                <color theme="0"/>
              </font>
              <fill>
                <patternFill>
                  <bgColor theme="0"/>
                </patternFill>
              </fill>
              <border>
                <vertical/>
                <horizontal/>
              </border>
            </x14:dxf>
          </x14:cfRule>
          <xm:sqref>W97:W102</xm:sqref>
        </x14:conditionalFormatting>
        <x14:conditionalFormatting xmlns:xm="http://schemas.microsoft.com/office/excel/2006/main">
          <x14:cfRule type="expression" priority="813" id="{38486A5C-B729-4422-8536-52FE6D7F340B}">
            <xm:f>$S$8='Assessment Details'!$Q$23</xm:f>
            <x14:dxf>
              <border>
                <left style="thin">
                  <color theme="0"/>
                </left>
                <right style="thin">
                  <color theme="0"/>
                </right>
                <top style="thin">
                  <color theme="0"/>
                </top>
                <bottom style="thin">
                  <color theme="0"/>
                </bottom>
                <vertical/>
                <horizontal/>
              </border>
            </x14:dxf>
          </x14:cfRule>
          <xm:sqref>W97:W102</xm:sqref>
        </x14:conditionalFormatting>
        <x14:conditionalFormatting xmlns:xm="http://schemas.microsoft.com/office/excel/2006/main">
          <x14:cfRule type="expression" priority="846" id="{523FC504-EDF4-4B28-90CA-F81484708F8D}">
            <xm:f>$Z$8='Assessment Details'!$Q$23</xm:f>
            <x14:dxf>
              <font>
                <color theme="0"/>
              </font>
              <fill>
                <patternFill>
                  <bgColor theme="0"/>
                </patternFill>
              </fill>
            </x14:dxf>
          </x14:cfRule>
          <xm:sqref>U97:Z102</xm:sqref>
        </x14:conditionalFormatting>
        <x14:conditionalFormatting xmlns:xm="http://schemas.microsoft.com/office/excel/2006/main">
          <x14:cfRule type="expression" priority="847" id="{95A0CC1A-0E54-40AC-818C-C97BF29A60BC}">
            <xm:f>$Z$8='Assessment Details'!$Q$23</xm:f>
            <x14:dxf>
              <border>
                <left style="thin">
                  <color theme="0"/>
                </left>
                <right style="thin">
                  <color theme="0"/>
                </right>
                <top style="thin">
                  <color theme="0"/>
                </top>
                <bottom style="thin">
                  <color theme="0"/>
                </bottom>
                <vertical/>
                <horizontal/>
              </border>
            </x14:dxf>
          </x14:cfRule>
          <xm:sqref>U97:Z102</xm:sqref>
        </x14:conditionalFormatting>
        <x14:conditionalFormatting xmlns:xm="http://schemas.microsoft.com/office/excel/2006/main">
          <x14:cfRule type="expression" priority="797" id="{7DE336E1-E5D4-401E-B8D4-7A63000DEAC3}">
            <xm:f>$S$8='Assessment Details'!$Q$23</xm:f>
            <x14:dxf>
              <font>
                <color theme="0"/>
              </font>
              <fill>
                <patternFill>
                  <bgColor theme="0"/>
                </patternFill>
              </fill>
              <border>
                <vertical/>
                <horizontal/>
              </border>
            </x14:dxf>
          </x14:cfRule>
          <xm:sqref>N106:S116</xm:sqref>
        </x14:conditionalFormatting>
        <x14:conditionalFormatting xmlns:xm="http://schemas.microsoft.com/office/excel/2006/main">
          <x14:cfRule type="expression" priority="796" id="{49DA29B4-1630-47B1-A291-04E2B0538837}">
            <xm:f>$S$8='Assessment Details'!$Q$23</xm:f>
            <x14:dxf>
              <border>
                <left style="thin">
                  <color theme="0"/>
                </left>
                <right style="thin">
                  <color theme="0"/>
                </right>
                <top style="thin">
                  <color theme="0"/>
                </top>
                <bottom style="thin">
                  <color theme="0"/>
                </bottom>
                <vertical/>
                <horizontal/>
              </border>
            </x14:dxf>
          </x14:cfRule>
          <xm:sqref>N106:S116</xm:sqref>
        </x14:conditionalFormatting>
        <x14:conditionalFormatting xmlns:xm="http://schemas.microsoft.com/office/excel/2006/main">
          <x14:cfRule type="expression" priority="795" id="{BA618F41-E642-4287-8CC1-4B1B638FEB3B}">
            <xm:f>$S$8='Assessment Details'!$Q$23</xm:f>
            <x14:dxf>
              <font>
                <color theme="0"/>
              </font>
              <fill>
                <patternFill>
                  <bgColor theme="0"/>
                </patternFill>
              </fill>
              <border>
                <vertical/>
                <horizontal/>
              </border>
            </x14:dxf>
          </x14:cfRule>
          <xm:sqref>G106:G116</xm:sqref>
        </x14:conditionalFormatting>
        <x14:conditionalFormatting xmlns:xm="http://schemas.microsoft.com/office/excel/2006/main">
          <x14:cfRule type="expression" priority="794" id="{DF510D98-611C-4B4E-AD84-C8B3C1C3E16A}">
            <xm:f>$S$8='Assessment Details'!$Q$23</xm:f>
            <x14:dxf>
              <border>
                <left style="thin">
                  <color theme="0"/>
                </left>
                <right style="thin">
                  <color theme="0"/>
                </right>
                <top style="thin">
                  <color theme="0"/>
                </top>
                <bottom style="thin">
                  <color theme="0"/>
                </bottom>
                <vertical/>
                <horizontal/>
              </border>
            </x14:dxf>
          </x14:cfRule>
          <xm:sqref>G106:G116</xm:sqref>
        </x14:conditionalFormatting>
        <x14:conditionalFormatting xmlns:xm="http://schemas.microsoft.com/office/excel/2006/main">
          <x14:cfRule type="expression" priority="793" id="{756983B4-32DB-4712-9E4A-B0195C7F9967}">
            <xm:f>$S$8='Assessment Details'!$Q$23</xm:f>
            <x14:dxf>
              <font>
                <color theme="0"/>
              </font>
              <fill>
                <patternFill>
                  <bgColor theme="0"/>
                </patternFill>
              </fill>
              <border>
                <vertical/>
                <horizontal/>
              </border>
            </x14:dxf>
          </x14:cfRule>
          <xm:sqref>U106:U116</xm:sqref>
        </x14:conditionalFormatting>
        <x14:conditionalFormatting xmlns:xm="http://schemas.microsoft.com/office/excel/2006/main">
          <x14:cfRule type="expression" priority="792" id="{067A6CDD-7B63-4779-B8F0-E078EAC87BBB}">
            <xm:f>$S$8='Assessment Details'!$Q$23</xm:f>
            <x14:dxf>
              <border>
                <left style="thin">
                  <color theme="0"/>
                </left>
                <right style="thin">
                  <color theme="0"/>
                </right>
                <top style="thin">
                  <color theme="0"/>
                </top>
                <bottom style="thin">
                  <color theme="0"/>
                </bottom>
                <vertical/>
                <horizontal/>
              </border>
            </x14:dxf>
          </x14:cfRule>
          <xm:sqref>U106:U116</xm:sqref>
        </x14:conditionalFormatting>
        <x14:conditionalFormatting xmlns:xm="http://schemas.microsoft.com/office/excel/2006/main">
          <x14:cfRule type="expression" priority="787" id="{96519392-41EB-42E7-94C2-5B2168E527EE}">
            <xm:f>$S$8='Assessment Details'!$Q$23</xm:f>
            <x14:dxf>
              <font>
                <color theme="0"/>
              </font>
              <fill>
                <patternFill>
                  <bgColor theme="0"/>
                </patternFill>
              </fill>
              <border>
                <vertical/>
                <horizontal/>
              </border>
            </x14:dxf>
          </x14:cfRule>
          <xm:sqref>N106:N116</xm:sqref>
        </x14:conditionalFormatting>
        <x14:conditionalFormatting xmlns:xm="http://schemas.microsoft.com/office/excel/2006/main">
          <x14:cfRule type="expression" priority="786" id="{750009DF-3B7E-4232-9FC0-8318C8C849AC}">
            <xm:f>$S$8='Assessment Details'!$Q$23</xm:f>
            <x14:dxf>
              <border>
                <left style="thin">
                  <color theme="0"/>
                </left>
                <right style="thin">
                  <color theme="0"/>
                </right>
                <top style="thin">
                  <color theme="0"/>
                </top>
                <bottom style="thin">
                  <color theme="0"/>
                </bottom>
                <vertical/>
                <horizontal/>
              </border>
            </x14:dxf>
          </x14:cfRule>
          <xm:sqref>N106:N116</xm:sqref>
        </x14:conditionalFormatting>
        <x14:conditionalFormatting xmlns:xm="http://schemas.microsoft.com/office/excel/2006/main">
          <x14:cfRule type="expression" priority="781" id="{7E831641-C107-4F72-8604-4E0AEFAA2B69}">
            <xm:f>$S$8='Assessment Details'!$Q$23</xm:f>
            <x14:dxf>
              <font>
                <color theme="0"/>
              </font>
              <fill>
                <patternFill>
                  <bgColor theme="0"/>
                </patternFill>
              </fill>
              <border>
                <vertical/>
                <horizontal/>
              </border>
            </x14:dxf>
          </x14:cfRule>
          <xm:sqref>U106:U116</xm:sqref>
        </x14:conditionalFormatting>
        <x14:conditionalFormatting xmlns:xm="http://schemas.microsoft.com/office/excel/2006/main">
          <x14:cfRule type="expression" priority="780" id="{E32F43E0-B962-4DF3-A9EC-3935053A07E3}">
            <xm:f>$S$8='Assessment Details'!$Q$23</xm:f>
            <x14:dxf>
              <border>
                <left style="thin">
                  <color theme="0"/>
                </left>
                <right style="thin">
                  <color theme="0"/>
                </right>
                <top style="thin">
                  <color theme="0"/>
                </top>
                <bottom style="thin">
                  <color theme="0"/>
                </bottom>
                <vertical/>
                <horizontal/>
              </border>
            </x14:dxf>
          </x14:cfRule>
          <xm:sqref>U106:U116</xm:sqref>
        </x14:conditionalFormatting>
        <x14:conditionalFormatting xmlns:xm="http://schemas.microsoft.com/office/excel/2006/main">
          <x14:cfRule type="expression" priority="779" id="{0BB5ED4B-026F-4928-A4EE-B96D789885DA}">
            <xm:f>$S$8='Assessment Details'!$Q$23</xm:f>
            <x14:dxf>
              <font>
                <color theme="0"/>
              </font>
              <fill>
                <patternFill>
                  <bgColor theme="0"/>
                </patternFill>
              </fill>
              <border>
                <vertical/>
                <horizontal/>
              </border>
            </x14:dxf>
          </x14:cfRule>
          <xm:sqref>W106:W116</xm:sqref>
        </x14:conditionalFormatting>
        <x14:conditionalFormatting xmlns:xm="http://schemas.microsoft.com/office/excel/2006/main">
          <x14:cfRule type="expression" priority="778" id="{BC45D543-FEDC-456A-AE61-F84314511591}">
            <xm:f>$S$8='Assessment Details'!$Q$23</xm:f>
            <x14:dxf>
              <border>
                <left style="thin">
                  <color theme="0"/>
                </left>
                <right style="thin">
                  <color theme="0"/>
                </right>
                <top style="thin">
                  <color theme="0"/>
                </top>
                <bottom style="thin">
                  <color theme="0"/>
                </bottom>
                <vertical/>
                <horizontal/>
              </border>
            </x14:dxf>
          </x14:cfRule>
          <xm:sqref>W106:W116</xm:sqref>
        </x14:conditionalFormatting>
        <x14:conditionalFormatting xmlns:xm="http://schemas.microsoft.com/office/excel/2006/main">
          <x14:cfRule type="expression" priority="811" id="{B1599C0C-1824-4B77-A646-BB9489929227}">
            <xm:f>$Z$8='Assessment Details'!$Q$23</xm:f>
            <x14:dxf>
              <font>
                <color theme="0"/>
              </font>
              <fill>
                <patternFill>
                  <bgColor theme="0"/>
                </patternFill>
              </fill>
            </x14:dxf>
          </x14:cfRule>
          <xm:sqref>U106:Z116</xm:sqref>
        </x14:conditionalFormatting>
        <x14:conditionalFormatting xmlns:xm="http://schemas.microsoft.com/office/excel/2006/main">
          <x14:cfRule type="expression" priority="812" id="{7C24B3D7-69A8-472F-9AC4-971295E49E8C}">
            <xm:f>$Z$8='Assessment Details'!$Q$23</xm:f>
            <x14:dxf>
              <border>
                <left style="thin">
                  <color theme="0"/>
                </left>
                <right style="thin">
                  <color theme="0"/>
                </right>
                <top style="thin">
                  <color theme="0"/>
                </top>
                <bottom style="thin">
                  <color theme="0"/>
                </bottom>
                <vertical/>
                <horizontal/>
              </border>
            </x14:dxf>
          </x14:cfRule>
          <xm:sqref>U106:Z116</xm:sqref>
        </x14:conditionalFormatting>
        <x14:conditionalFormatting xmlns:xm="http://schemas.microsoft.com/office/excel/2006/main">
          <x14:cfRule type="expression" priority="762" id="{F63492DD-25C4-472D-9AFC-29D0F2FFCA4E}">
            <xm:f>$S$8='Assessment Details'!$Q$23</xm:f>
            <x14:dxf>
              <font>
                <color theme="0"/>
              </font>
              <fill>
                <patternFill>
                  <bgColor theme="0"/>
                </patternFill>
              </fill>
              <border>
                <vertical/>
                <horizontal/>
              </border>
            </x14:dxf>
          </x14:cfRule>
          <xm:sqref>N120:S146</xm:sqref>
        </x14:conditionalFormatting>
        <x14:conditionalFormatting xmlns:xm="http://schemas.microsoft.com/office/excel/2006/main">
          <x14:cfRule type="expression" priority="761" id="{F8AC1FE8-B5C4-4AF3-AA72-D2DCF4E1FFC1}">
            <xm:f>$S$8='Assessment Details'!$Q$23</xm:f>
            <x14:dxf>
              <border>
                <left style="thin">
                  <color theme="0"/>
                </left>
                <right style="thin">
                  <color theme="0"/>
                </right>
                <top style="thin">
                  <color theme="0"/>
                </top>
                <bottom style="thin">
                  <color theme="0"/>
                </bottom>
                <vertical/>
                <horizontal/>
              </border>
            </x14:dxf>
          </x14:cfRule>
          <xm:sqref>N120:S146</xm:sqref>
        </x14:conditionalFormatting>
        <x14:conditionalFormatting xmlns:xm="http://schemas.microsoft.com/office/excel/2006/main">
          <x14:cfRule type="expression" priority="760" id="{E38FC8F5-B00E-45A0-92B9-74494A8AC0D9}">
            <xm:f>$S$8='Assessment Details'!$Q$23</xm:f>
            <x14:dxf>
              <font>
                <color theme="0"/>
              </font>
              <fill>
                <patternFill>
                  <bgColor theme="0"/>
                </patternFill>
              </fill>
              <border>
                <vertical/>
                <horizontal/>
              </border>
            </x14:dxf>
          </x14:cfRule>
          <xm:sqref>G120:G146</xm:sqref>
        </x14:conditionalFormatting>
        <x14:conditionalFormatting xmlns:xm="http://schemas.microsoft.com/office/excel/2006/main">
          <x14:cfRule type="expression" priority="759" id="{E74AB5C6-EC80-494B-BA5B-D2200366EB60}">
            <xm:f>$S$8='Assessment Details'!$Q$23</xm:f>
            <x14:dxf>
              <border>
                <left style="thin">
                  <color theme="0"/>
                </left>
                <right style="thin">
                  <color theme="0"/>
                </right>
                <top style="thin">
                  <color theme="0"/>
                </top>
                <bottom style="thin">
                  <color theme="0"/>
                </bottom>
                <vertical/>
                <horizontal/>
              </border>
            </x14:dxf>
          </x14:cfRule>
          <xm:sqref>G120:G146</xm:sqref>
        </x14:conditionalFormatting>
        <x14:conditionalFormatting xmlns:xm="http://schemas.microsoft.com/office/excel/2006/main">
          <x14:cfRule type="expression" priority="758" id="{673DFAA5-2055-44C4-887D-2C35F93E8E42}">
            <xm:f>$S$8='Assessment Details'!$Q$23</xm:f>
            <x14:dxf>
              <font>
                <color theme="0"/>
              </font>
              <fill>
                <patternFill>
                  <bgColor theme="0"/>
                </patternFill>
              </fill>
              <border>
                <vertical/>
                <horizontal/>
              </border>
            </x14:dxf>
          </x14:cfRule>
          <xm:sqref>U120:U146</xm:sqref>
        </x14:conditionalFormatting>
        <x14:conditionalFormatting xmlns:xm="http://schemas.microsoft.com/office/excel/2006/main">
          <x14:cfRule type="expression" priority="757" id="{2FB72A45-195A-4D9B-B6A6-6A65A8CBEFBF}">
            <xm:f>$S$8='Assessment Details'!$Q$23</xm:f>
            <x14:dxf>
              <border>
                <left style="thin">
                  <color theme="0"/>
                </left>
                <right style="thin">
                  <color theme="0"/>
                </right>
                <top style="thin">
                  <color theme="0"/>
                </top>
                <bottom style="thin">
                  <color theme="0"/>
                </bottom>
                <vertical/>
                <horizontal/>
              </border>
            </x14:dxf>
          </x14:cfRule>
          <xm:sqref>U120:U146</xm:sqref>
        </x14:conditionalFormatting>
        <x14:conditionalFormatting xmlns:xm="http://schemas.microsoft.com/office/excel/2006/main">
          <x14:cfRule type="expression" priority="752" id="{F4CB3BC1-BF42-4E13-88F7-6746AE0C85AB}">
            <xm:f>$S$8='Assessment Details'!$Q$23</xm:f>
            <x14:dxf>
              <font>
                <color theme="0"/>
              </font>
              <fill>
                <patternFill>
                  <bgColor theme="0"/>
                </patternFill>
              </fill>
              <border>
                <vertical/>
                <horizontal/>
              </border>
            </x14:dxf>
          </x14:cfRule>
          <xm:sqref>N120:N146</xm:sqref>
        </x14:conditionalFormatting>
        <x14:conditionalFormatting xmlns:xm="http://schemas.microsoft.com/office/excel/2006/main">
          <x14:cfRule type="expression" priority="751" id="{F6844507-E947-4893-B9ED-E004BF7954D4}">
            <xm:f>$S$8='Assessment Details'!$Q$23</xm:f>
            <x14:dxf>
              <border>
                <left style="thin">
                  <color theme="0"/>
                </left>
                <right style="thin">
                  <color theme="0"/>
                </right>
                <top style="thin">
                  <color theme="0"/>
                </top>
                <bottom style="thin">
                  <color theme="0"/>
                </bottom>
                <vertical/>
                <horizontal/>
              </border>
            </x14:dxf>
          </x14:cfRule>
          <xm:sqref>N120:N146</xm:sqref>
        </x14:conditionalFormatting>
        <x14:conditionalFormatting xmlns:xm="http://schemas.microsoft.com/office/excel/2006/main">
          <x14:cfRule type="expression" priority="746" id="{F302A555-2F25-42D5-8AAA-616DCC026794}">
            <xm:f>$S$8='Assessment Details'!$Q$23</xm:f>
            <x14:dxf>
              <font>
                <color theme="0"/>
              </font>
              <fill>
                <patternFill>
                  <bgColor theme="0"/>
                </patternFill>
              </fill>
              <border>
                <vertical/>
                <horizontal/>
              </border>
            </x14:dxf>
          </x14:cfRule>
          <xm:sqref>U120:U146</xm:sqref>
        </x14:conditionalFormatting>
        <x14:conditionalFormatting xmlns:xm="http://schemas.microsoft.com/office/excel/2006/main">
          <x14:cfRule type="expression" priority="745" id="{AD450B60-6008-4136-BDB5-B79109E9289D}">
            <xm:f>$S$8='Assessment Details'!$Q$23</xm:f>
            <x14:dxf>
              <border>
                <left style="thin">
                  <color theme="0"/>
                </left>
                <right style="thin">
                  <color theme="0"/>
                </right>
                <top style="thin">
                  <color theme="0"/>
                </top>
                <bottom style="thin">
                  <color theme="0"/>
                </bottom>
                <vertical/>
                <horizontal/>
              </border>
            </x14:dxf>
          </x14:cfRule>
          <xm:sqref>U120:U146</xm:sqref>
        </x14:conditionalFormatting>
        <x14:conditionalFormatting xmlns:xm="http://schemas.microsoft.com/office/excel/2006/main">
          <x14:cfRule type="expression" priority="744" id="{DE80F036-12CD-4EF6-ABDA-A72B56533A28}">
            <xm:f>$S$8='Assessment Details'!$Q$23</xm:f>
            <x14:dxf>
              <font>
                <color theme="0"/>
              </font>
              <fill>
                <patternFill>
                  <bgColor theme="0"/>
                </patternFill>
              </fill>
              <border>
                <vertical/>
                <horizontal/>
              </border>
            </x14:dxf>
          </x14:cfRule>
          <xm:sqref>W120:W146</xm:sqref>
        </x14:conditionalFormatting>
        <x14:conditionalFormatting xmlns:xm="http://schemas.microsoft.com/office/excel/2006/main">
          <x14:cfRule type="expression" priority="743" id="{ED2AA8D5-C35E-4825-A8B3-98F9B47AE8A5}">
            <xm:f>$S$8='Assessment Details'!$Q$23</xm:f>
            <x14:dxf>
              <border>
                <left style="thin">
                  <color theme="0"/>
                </left>
                <right style="thin">
                  <color theme="0"/>
                </right>
                <top style="thin">
                  <color theme="0"/>
                </top>
                <bottom style="thin">
                  <color theme="0"/>
                </bottom>
                <vertical/>
                <horizontal/>
              </border>
            </x14:dxf>
          </x14:cfRule>
          <xm:sqref>W120:W146</xm:sqref>
        </x14:conditionalFormatting>
        <x14:conditionalFormatting xmlns:xm="http://schemas.microsoft.com/office/excel/2006/main">
          <x14:cfRule type="expression" priority="776" id="{8F9F20A1-7D00-404C-BE1C-DEE2255F6C84}">
            <xm:f>$Z$8='Assessment Details'!$Q$23</xm:f>
            <x14:dxf>
              <font>
                <color theme="0"/>
              </font>
              <fill>
                <patternFill>
                  <bgColor theme="0"/>
                </patternFill>
              </fill>
            </x14:dxf>
          </x14:cfRule>
          <xm:sqref>U120:Z146</xm:sqref>
        </x14:conditionalFormatting>
        <x14:conditionalFormatting xmlns:xm="http://schemas.microsoft.com/office/excel/2006/main">
          <x14:cfRule type="expression" priority="777" id="{010FD9E7-F2B6-4B14-9887-5AFA260D8F08}">
            <xm:f>$Z$8='Assessment Details'!$Q$23</xm:f>
            <x14:dxf>
              <border>
                <left style="thin">
                  <color theme="0"/>
                </left>
                <right style="thin">
                  <color theme="0"/>
                </right>
                <top style="thin">
                  <color theme="0"/>
                </top>
                <bottom style="thin">
                  <color theme="0"/>
                </bottom>
                <vertical/>
                <horizontal/>
              </border>
            </x14:dxf>
          </x14:cfRule>
          <xm:sqref>U120:Z146</xm:sqref>
        </x14:conditionalFormatting>
        <x14:conditionalFormatting xmlns:xm="http://schemas.microsoft.com/office/excel/2006/main">
          <x14:cfRule type="expression" priority="727" id="{FDD67AFC-223C-407C-B2FF-9A6AB2820552}">
            <xm:f>$S$8='Assessment Details'!$Q$23</xm:f>
            <x14:dxf>
              <font>
                <color theme="0"/>
              </font>
              <fill>
                <patternFill>
                  <bgColor theme="0"/>
                </patternFill>
              </fill>
              <border>
                <vertical/>
                <horizontal/>
              </border>
            </x14:dxf>
          </x14:cfRule>
          <xm:sqref>N150:S161</xm:sqref>
        </x14:conditionalFormatting>
        <x14:conditionalFormatting xmlns:xm="http://schemas.microsoft.com/office/excel/2006/main">
          <x14:cfRule type="expression" priority="726" id="{7D03C898-9C07-489D-957D-E4B2FB7B043C}">
            <xm:f>$S$8='Assessment Details'!$Q$23</xm:f>
            <x14:dxf>
              <border>
                <left style="thin">
                  <color theme="0"/>
                </left>
                <right style="thin">
                  <color theme="0"/>
                </right>
                <top style="thin">
                  <color theme="0"/>
                </top>
                <bottom style="thin">
                  <color theme="0"/>
                </bottom>
                <vertical/>
                <horizontal/>
              </border>
            </x14:dxf>
          </x14:cfRule>
          <xm:sqref>N150:S161</xm:sqref>
        </x14:conditionalFormatting>
        <x14:conditionalFormatting xmlns:xm="http://schemas.microsoft.com/office/excel/2006/main">
          <x14:cfRule type="expression" priority="725" id="{51B2421E-E8B3-4AB2-B386-77ECA66D1F6B}">
            <xm:f>$S$8='Assessment Details'!$Q$23</xm:f>
            <x14:dxf>
              <font>
                <color theme="0"/>
              </font>
              <fill>
                <patternFill>
                  <bgColor theme="0"/>
                </patternFill>
              </fill>
              <border>
                <vertical/>
                <horizontal/>
              </border>
            </x14:dxf>
          </x14:cfRule>
          <xm:sqref>G150:G161</xm:sqref>
        </x14:conditionalFormatting>
        <x14:conditionalFormatting xmlns:xm="http://schemas.microsoft.com/office/excel/2006/main">
          <x14:cfRule type="expression" priority="724" id="{C1457F96-481E-4D7C-89F2-3AF16BD4EA56}">
            <xm:f>$S$8='Assessment Details'!$Q$23</xm:f>
            <x14:dxf>
              <border>
                <left style="thin">
                  <color theme="0"/>
                </left>
                <right style="thin">
                  <color theme="0"/>
                </right>
                <top style="thin">
                  <color theme="0"/>
                </top>
                <bottom style="thin">
                  <color theme="0"/>
                </bottom>
                <vertical/>
                <horizontal/>
              </border>
            </x14:dxf>
          </x14:cfRule>
          <xm:sqref>G150:G161</xm:sqref>
        </x14:conditionalFormatting>
        <x14:conditionalFormatting xmlns:xm="http://schemas.microsoft.com/office/excel/2006/main">
          <x14:cfRule type="expression" priority="723" id="{049D0A9C-46E9-426F-B254-D588DDA9507D}">
            <xm:f>$S$8='Assessment Details'!$Q$23</xm:f>
            <x14:dxf>
              <font>
                <color theme="0"/>
              </font>
              <fill>
                <patternFill>
                  <bgColor theme="0"/>
                </patternFill>
              </fill>
              <border>
                <vertical/>
                <horizontal/>
              </border>
            </x14:dxf>
          </x14:cfRule>
          <xm:sqref>U150:U161</xm:sqref>
        </x14:conditionalFormatting>
        <x14:conditionalFormatting xmlns:xm="http://schemas.microsoft.com/office/excel/2006/main">
          <x14:cfRule type="expression" priority="722" id="{85444FAC-1617-4551-8CD5-240D164907C6}">
            <xm:f>$S$8='Assessment Details'!$Q$23</xm:f>
            <x14:dxf>
              <border>
                <left style="thin">
                  <color theme="0"/>
                </left>
                <right style="thin">
                  <color theme="0"/>
                </right>
                <top style="thin">
                  <color theme="0"/>
                </top>
                <bottom style="thin">
                  <color theme="0"/>
                </bottom>
                <vertical/>
                <horizontal/>
              </border>
            </x14:dxf>
          </x14:cfRule>
          <xm:sqref>U150:U161</xm:sqref>
        </x14:conditionalFormatting>
        <x14:conditionalFormatting xmlns:xm="http://schemas.microsoft.com/office/excel/2006/main">
          <x14:cfRule type="expression" priority="717" id="{EE91D37B-6967-49FC-8B21-F94042CA4016}">
            <xm:f>$S$8='Assessment Details'!$Q$23</xm:f>
            <x14:dxf>
              <font>
                <color theme="0"/>
              </font>
              <fill>
                <patternFill>
                  <bgColor theme="0"/>
                </patternFill>
              </fill>
              <border>
                <vertical/>
                <horizontal/>
              </border>
            </x14:dxf>
          </x14:cfRule>
          <xm:sqref>N150:N161</xm:sqref>
        </x14:conditionalFormatting>
        <x14:conditionalFormatting xmlns:xm="http://schemas.microsoft.com/office/excel/2006/main">
          <x14:cfRule type="expression" priority="716" id="{8621AEF3-0C3F-4972-80CC-714D754035A7}">
            <xm:f>$S$8='Assessment Details'!$Q$23</xm:f>
            <x14:dxf>
              <border>
                <left style="thin">
                  <color theme="0"/>
                </left>
                <right style="thin">
                  <color theme="0"/>
                </right>
                <top style="thin">
                  <color theme="0"/>
                </top>
                <bottom style="thin">
                  <color theme="0"/>
                </bottom>
                <vertical/>
                <horizontal/>
              </border>
            </x14:dxf>
          </x14:cfRule>
          <xm:sqref>N150:N161</xm:sqref>
        </x14:conditionalFormatting>
        <x14:conditionalFormatting xmlns:xm="http://schemas.microsoft.com/office/excel/2006/main">
          <x14:cfRule type="expression" priority="711" id="{57179EFB-88D6-432B-9A88-0120AAE43F3D}">
            <xm:f>$S$8='Assessment Details'!$Q$23</xm:f>
            <x14:dxf>
              <font>
                <color theme="0"/>
              </font>
              <fill>
                <patternFill>
                  <bgColor theme="0"/>
                </patternFill>
              </fill>
              <border>
                <vertical/>
                <horizontal/>
              </border>
            </x14:dxf>
          </x14:cfRule>
          <xm:sqref>U150:U161</xm:sqref>
        </x14:conditionalFormatting>
        <x14:conditionalFormatting xmlns:xm="http://schemas.microsoft.com/office/excel/2006/main">
          <x14:cfRule type="expression" priority="710" id="{582D4AC3-A38D-4C64-A0CE-58695167D3BF}">
            <xm:f>$S$8='Assessment Details'!$Q$23</xm:f>
            <x14:dxf>
              <border>
                <left style="thin">
                  <color theme="0"/>
                </left>
                <right style="thin">
                  <color theme="0"/>
                </right>
                <top style="thin">
                  <color theme="0"/>
                </top>
                <bottom style="thin">
                  <color theme="0"/>
                </bottom>
                <vertical/>
                <horizontal/>
              </border>
            </x14:dxf>
          </x14:cfRule>
          <xm:sqref>U150:U161</xm:sqref>
        </x14:conditionalFormatting>
        <x14:conditionalFormatting xmlns:xm="http://schemas.microsoft.com/office/excel/2006/main">
          <x14:cfRule type="expression" priority="709" id="{3B203074-BC8A-49D8-B297-3E5E60AE11C7}">
            <xm:f>$S$8='Assessment Details'!$Q$23</xm:f>
            <x14:dxf>
              <font>
                <color theme="0"/>
              </font>
              <fill>
                <patternFill>
                  <bgColor theme="0"/>
                </patternFill>
              </fill>
              <border>
                <vertical/>
                <horizontal/>
              </border>
            </x14:dxf>
          </x14:cfRule>
          <xm:sqref>W150:W161</xm:sqref>
        </x14:conditionalFormatting>
        <x14:conditionalFormatting xmlns:xm="http://schemas.microsoft.com/office/excel/2006/main">
          <x14:cfRule type="expression" priority="708" id="{48AC37E6-979F-4F26-95D4-F2D58AB05DE7}">
            <xm:f>$S$8='Assessment Details'!$Q$23</xm:f>
            <x14:dxf>
              <border>
                <left style="thin">
                  <color theme="0"/>
                </left>
                <right style="thin">
                  <color theme="0"/>
                </right>
                <top style="thin">
                  <color theme="0"/>
                </top>
                <bottom style="thin">
                  <color theme="0"/>
                </bottom>
                <vertical/>
                <horizontal/>
              </border>
            </x14:dxf>
          </x14:cfRule>
          <xm:sqref>W150:W161</xm:sqref>
        </x14:conditionalFormatting>
        <x14:conditionalFormatting xmlns:xm="http://schemas.microsoft.com/office/excel/2006/main">
          <x14:cfRule type="expression" priority="741" id="{89AC23ED-6015-47FA-BEAF-9A6AA375A18E}">
            <xm:f>$Z$8='Assessment Details'!$Q$23</xm:f>
            <x14:dxf>
              <font>
                <color theme="0"/>
              </font>
              <fill>
                <patternFill>
                  <bgColor theme="0"/>
                </patternFill>
              </fill>
            </x14:dxf>
          </x14:cfRule>
          <xm:sqref>U150:Z161</xm:sqref>
        </x14:conditionalFormatting>
        <x14:conditionalFormatting xmlns:xm="http://schemas.microsoft.com/office/excel/2006/main">
          <x14:cfRule type="expression" priority="742" id="{8E8536A4-6749-44D2-BCBD-7D39EE4A4881}">
            <xm:f>$Z$8='Assessment Details'!$Q$23</xm:f>
            <x14:dxf>
              <border>
                <left style="thin">
                  <color theme="0"/>
                </left>
                <right style="thin">
                  <color theme="0"/>
                </right>
                <top style="thin">
                  <color theme="0"/>
                </top>
                <bottom style="thin">
                  <color theme="0"/>
                </bottom>
                <vertical/>
                <horizontal/>
              </border>
            </x14:dxf>
          </x14:cfRule>
          <xm:sqref>U150:Z161</xm:sqref>
        </x14:conditionalFormatting>
        <x14:conditionalFormatting xmlns:xm="http://schemas.microsoft.com/office/excel/2006/main">
          <x14:cfRule type="expression" priority="692" id="{D4D19939-03E7-461D-8DC4-FE096D9DFFFD}">
            <xm:f>$S$8='Assessment Details'!$Q$23</xm:f>
            <x14:dxf>
              <font>
                <color theme="0"/>
              </font>
              <fill>
                <patternFill>
                  <bgColor theme="0"/>
                </patternFill>
              </fill>
              <border>
                <vertical/>
                <horizontal/>
              </border>
            </x14:dxf>
          </x14:cfRule>
          <xm:sqref>N165:S173 N175:S193</xm:sqref>
        </x14:conditionalFormatting>
        <x14:conditionalFormatting xmlns:xm="http://schemas.microsoft.com/office/excel/2006/main">
          <x14:cfRule type="expression" priority="691" id="{BE550D97-26B7-410F-A7F0-AF419623F590}">
            <xm:f>$S$8='Assessment Details'!$Q$23</xm:f>
            <x14:dxf>
              <border>
                <left style="thin">
                  <color theme="0"/>
                </left>
                <right style="thin">
                  <color theme="0"/>
                </right>
                <top style="thin">
                  <color theme="0"/>
                </top>
                <bottom style="thin">
                  <color theme="0"/>
                </bottom>
                <vertical/>
                <horizontal/>
              </border>
            </x14:dxf>
          </x14:cfRule>
          <xm:sqref>N165:S173 N175:S193</xm:sqref>
        </x14:conditionalFormatting>
        <x14:conditionalFormatting xmlns:xm="http://schemas.microsoft.com/office/excel/2006/main">
          <x14:cfRule type="expression" priority="690" id="{7A93FD74-DED4-49B4-9201-176F09C1FEF1}">
            <xm:f>$S$8='Assessment Details'!$Q$23</xm:f>
            <x14:dxf>
              <font>
                <color theme="0"/>
              </font>
              <fill>
                <patternFill>
                  <bgColor theme="0"/>
                </patternFill>
              </fill>
              <border>
                <vertical/>
                <horizontal/>
              </border>
            </x14:dxf>
          </x14:cfRule>
          <xm:sqref>G165:G173 G175:G193</xm:sqref>
        </x14:conditionalFormatting>
        <x14:conditionalFormatting xmlns:xm="http://schemas.microsoft.com/office/excel/2006/main">
          <x14:cfRule type="expression" priority="689" id="{3479F7C1-53ED-41C3-ABA1-64A7E57F64D9}">
            <xm:f>$S$8='Assessment Details'!$Q$23</xm:f>
            <x14:dxf>
              <border>
                <left style="thin">
                  <color theme="0"/>
                </left>
                <right style="thin">
                  <color theme="0"/>
                </right>
                <top style="thin">
                  <color theme="0"/>
                </top>
                <bottom style="thin">
                  <color theme="0"/>
                </bottom>
                <vertical/>
                <horizontal/>
              </border>
            </x14:dxf>
          </x14:cfRule>
          <xm:sqref>G165:G173 G175:G193</xm:sqref>
        </x14:conditionalFormatting>
        <x14:conditionalFormatting xmlns:xm="http://schemas.microsoft.com/office/excel/2006/main">
          <x14:cfRule type="expression" priority="688" id="{1836C5F5-8B8B-402F-9896-1534A68AEBD0}">
            <xm:f>$S$8='Assessment Details'!$Q$23</xm:f>
            <x14:dxf>
              <font>
                <color theme="0"/>
              </font>
              <fill>
                <patternFill>
                  <bgColor theme="0"/>
                </patternFill>
              </fill>
              <border>
                <vertical/>
                <horizontal/>
              </border>
            </x14:dxf>
          </x14:cfRule>
          <xm:sqref>U165:U173 U175:U193</xm:sqref>
        </x14:conditionalFormatting>
        <x14:conditionalFormatting xmlns:xm="http://schemas.microsoft.com/office/excel/2006/main">
          <x14:cfRule type="expression" priority="687" id="{BF1BF6B8-EE67-45EE-8151-CD83A657FDAA}">
            <xm:f>$S$8='Assessment Details'!$Q$23</xm:f>
            <x14:dxf>
              <border>
                <left style="thin">
                  <color theme="0"/>
                </left>
                <right style="thin">
                  <color theme="0"/>
                </right>
                <top style="thin">
                  <color theme="0"/>
                </top>
                <bottom style="thin">
                  <color theme="0"/>
                </bottom>
                <vertical/>
                <horizontal/>
              </border>
            </x14:dxf>
          </x14:cfRule>
          <xm:sqref>U165:U173 U175:U193</xm:sqref>
        </x14:conditionalFormatting>
        <x14:conditionalFormatting xmlns:xm="http://schemas.microsoft.com/office/excel/2006/main">
          <x14:cfRule type="expression" priority="682" id="{5A0129D5-F475-4E7B-9520-37E3A7D82FB5}">
            <xm:f>$S$8='Assessment Details'!$Q$23</xm:f>
            <x14:dxf>
              <font>
                <color theme="0"/>
              </font>
              <fill>
                <patternFill>
                  <bgColor theme="0"/>
                </patternFill>
              </fill>
              <border>
                <vertical/>
                <horizontal/>
              </border>
            </x14:dxf>
          </x14:cfRule>
          <xm:sqref>N165:N173 N175:N193</xm:sqref>
        </x14:conditionalFormatting>
        <x14:conditionalFormatting xmlns:xm="http://schemas.microsoft.com/office/excel/2006/main">
          <x14:cfRule type="expression" priority="681" id="{3EDFE930-693F-44DC-A566-8E16A1730788}">
            <xm:f>$S$8='Assessment Details'!$Q$23</xm:f>
            <x14:dxf>
              <border>
                <left style="thin">
                  <color theme="0"/>
                </left>
                <right style="thin">
                  <color theme="0"/>
                </right>
                <top style="thin">
                  <color theme="0"/>
                </top>
                <bottom style="thin">
                  <color theme="0"/>
                </bottom>
                <vertical/>
                <horizontal/>
              </border>
            </x14:dxf>
          </x14:cfRule>
          <xm:sqref>N165:N173 N175:N193</xm:sqref>
        </x14:conditionalFormatting>
        <x14:conditionalFormatting xmlns:xm="http://schemas.microsoft.com/office/excel/2006/main">
          <x14:cfRule type="expression" priority="676" id="{057F9949-7FFB-45CF-9FA0-E01BA035B3E1}">
            <xm:f>$S$8='Assessment Details'!$Q$23</xm:f>
            <x14:dxf>
              <font>
                <color theme="0"/>
              </font>
              <fill>
                <patternFill>
                  <bgColor theme="0"/>
                </patternFill>
              </fill>
              <border>
                <vertical/>
                <horizontal/>
              </border>
            </x14:dxf>
          </x14:cfRule>
          <xm:sqref>U165:U173 U175:U193</xm:sqref>
        </x14:conditionalFormatting>
        <x14:conditionalFormatting xmlns:xm="http://schemas.microsoft.com/office/excel/2006/main">
          <x14:cfRule type="expression" priority="675" id="{80517BA3-B24B-4CC8-BAF6-4329096F205D}">
            <xm:f>$S$8='Assessment Details'!$Q$23</xm:f>
            <x14:dxf>
              <border>
                <left style="thin">
                  <color theme="0"/>
                </left>
                <right style="thin">
                  <color theme="0"/>
                </right>
                <top style="thin">
                  <color theme="0"/>
                </top>
                <bottom style="thin">
                  <color theme="0"/>
                </bottom>
                <vertical/>
                <horizontal/>
              </border>
            </x14:dxf>
          </x14:cfRule>
          <xm:sqref>U165:U173 U175:U193</xm:sqref>
        </x14:conditionalFormatting>
        <x14:conditionalFormatting xmlns:xm="http://schemas.microsoft.com/office/excel/2006/main">
          <x14:cfRule type="expression" priority="674" id="{E0DE2EBF-C845-49F1-94AF-650660600766}">
            <xm:f>$S$8='Assessment Details'!$Q$23</xm:f>
            <x14:dxf>
              <font>
                <color theme="0"/>
              </font>
              <fill>
                <patternFill>
                  <bgColor theme="0"/>
                </patternFill>
              </fill>
              <border>
                <vertical/>
                <horizontal/>
              </border>
            </x14:dxf>
          </x14:cfRule>
          <xm:sqref>W165:W173 W175:W193</xm:sqref>
        </x14:conditionalFormatting>
        <x14:conditionalFormatting xmlns:xm="http://schemas.microsoft.com/office/excel/2006/main">
          <x14:cfRule type="expression" priority="673" id="{DAFECC4A-CD43-4625-8D29-C727AA37469A}">
            <xm:f>$S$8='Assessment Details'!$Q$23</xm:f>
            <x14:dxf>
              <border>
                <left style="thin">
                  <color theme="0"/>
                </left>
                <right style="thin">
                  <color theme="0"/>
                </right>
                <top style="thin">
                  <color theme="0"/>
                </top>
                <bottom style="thin">
                  <color theme="0"/>
                </bottom>
                <vertical/>
                <horizontal/>
              </border>
            </x14:dxf>
          </x14:cfRule>
          <xm:sqref>W165:W173 W175:W193</xm:sqref>
        </x14:conditionalFormatting>
        <x14:conditionalFormatting xmlns:xm="http://schemas.microsoft.com/office/excel/2006/main">
          <x14:cfRule type="expression" priority="706" id="{FEB2857A-BA6E-44AA-90FC-C961C6499428}">
            <xm:f>$Z$8='Assessment Details'!$Q$23</xm:f>
            <x14:dxf>
              <font>
                <color theme="0"/>
              </font>
              <fill>
                <patternFill>
                  <bgColor theme="0"/>
                </patternFill>
              </fill>
            </x14:dxf>
          </x14:cfRule>
          <xm:sqref>U165:Z173 U175:Z193</xm:sqref>
        </x14:conditionalFormatting>
        <x14:conditionalFormatting xmlns:xm="http://schemas.microsoft.com/office/excel/2006/main">
          <x14:cfRule type="expression" priority="707" id="{99167A46-CA6A-47F7-A990-E00DE2E32EF5}">
            <xm:f>$Z$8='Assessment Details'!$Q$23</xm:f>
            <x14:dxf>
              <border>
                <left style="thin">
                  <color theme="0"/>
                </left>
                <right style="thin">
                  <color theme="0"/>
                </right>
                <top style="thin">
                  <color theme="0"/>
                </top>
                <bottom style="thin">
                  <color theme="0"/>
                </bottom>
                <vertical/>
                <horizontal/>
              </border>
            </x14:dxf>
          </x14:cfRule>
          <xm:sqref>U165:Z173 U175:Z193</xm:sqref>
        </x14:conditionalFormatting>
        <x14:conditionalFormatting xmlns:xm="http://schemas.microsoft.com/office/excel/2006/main">
          <x14:cfRule type="expression" priority="657" id="{2D4D8628-D431-410C-93AE-F72D90B86CC9}">
            <xm:f>$S$8='Assessment Details'!$Q$23</xm:f>
            <x14:dxf>
              <font>
                <color theme="0"/>
              </font>
              <fill>
                <patternFill>
                  <bgColor theme="0"/>
                </patternFill>
              </fill>
              <border>
                <vertical/>
                <horizontal/>
              </border>
            </x14:dxf>
          </x14:cfRule>
          <xm:sqref>N197:S210</xm:sqref>
        </x14:conditionalFormatting>
        <x14:conditionalFormatting xmlns:xm="http://schemas.microsoft.com/office/excel/2006/main">
          <x14:cfRule type="expression" priority="656" id="{015B966D-565D-4D37-9E4E-D18C7D0FF4F2}">
            <xm:f>$S$8='Assessment Details'!$Q$23</xm:f>
            <x14:dxf>
              <border>
                <left style="thin">
                  <color theme="0"/>
                </left>
                <right style="thin">
                  <color theme="0"/>
                </right>
                <top style="thin">
                  <color theme="0"/>
                </top>
                <bottom style="thin">
                  <color theme="0"/>
                </bottom>
                <vertical/>
                <horizontal/>
              </border>
            </x14:dxf>
          </x14:cfRule>
          <xm:sqref>N197:S210</xm:sqref>
        </x14:conditionalFormatting>
        <x14:conditionalFormatting xmlns:xm="http://schemas.microsoft.com/office/excel/2006/main">
          <x14:cfRule type="expression" priority="655" id="{82B06A9D-B4C3-42DD-BA43-74A98B42E62E}">
            <xm:f>$S$8='Assessment Details'!$Q$23</xm:f>
            <x14:dxf>
              <font>
                <color theme="0"/>
              </font>
              <fill>
                <patternFill>
                  <bgColor theme="0"/>
                </patternFill>
              </fill>
              <border>
                <vertical/>
                <horizontal/>
              </border>
            </x14:dxf>
          </x14:cfRule>
          <xm:sqref>G197:G210</xm:sqref>
        </x14:conditionalFormatting>
        <x14:conditionalFormatting xmlns:xm="http://schemas.microsoft.com/office/excel/2006/main">
          <x14:cfRule type="expression" priority="654" id="{0A71DD26-7FAC-4690-9571-C689F0D42AF2}">
            <xm:f>$S$8='Assessment Details'!$Q$23</xm:f>
            <x14:dxf>
              <border>
                <left style="thin">
                  <color theme="0"/>
                </left>
                <right style="thin">
                  <color theme="0"/>
                </right>
                <top style="thin">
                  <color theme="0"/>
                </top>
                <bottom style="thin">
                  <color theme="0"/>
                </bottom>
                <vertical/>
                <horizontal/>
              </border>
            </x14:dxf>
          </x14:cfRule>
          <xm:sqref>G197:G210</xm:sqref>
        </x14:conditionalFormatting>
        <x14:conditionalFormatting xmlns:xm="http://schemas.microsoft.com/office/excel/2006/main">
          <x14:cfRule type="expression" priority="653" id="{05395A0B-8350-4986-B1BF-45C6CF92C754}">
            <xm:f>$S$8='Assessment Details'!$Q$23</xm:f>
            <x14:dxf>
              <font>
                <color theme="0"/>
              </font>
              <fill>
                <patternFill>
                  <bgColor theme="0"/>
                </patternFill>
              </fill>
              <border>
                <vertical/>
                <horizontal/>
              </border>
            </x14:dxf>
          </x14:cfRule>
          <xm:sqref>U197:U210</xm:sqref>
        </x14:conditionalFormatting>
        <x14:conditionalFormatting xmlns:xm="http://schemas.microsoft.com/office/excel/2006/main">
          <x14:cfRule type="expression" priority="652" id="{5A16073C-F037-4B4F-928B-F7AFC1A2B1B0}">
            <xm:f>$S$8='Assessment Details'!$Q$23</xm:f>
            <x14:dxf>
              <border>
                <left style="thin">
                  <color theme="0"/>
                </left>
                <right style="thin">
                  <color theme="0"/>
                </right>
                <top style="thin">
                  <color theme="0"/>
                </top>
                <bottom style="thin">
                  <color theme="0"/>
                </bottom>
                <vertical/>
                <horizontal/>
              </border>
            </x14:dxf>
          </x14:cfRule>
          <xm:sqref>U197:U210</xm:sqref>
        </x14:conditionalFormatting>
        <x14:conditionalFormatting xmlns:xm="http://schemas.microsoft.com/office/excel/2006/main">
          <x14:cfRule type="expression" priority="647" id="{59DC67A7-AED3-4C94-9F3D-E15C0CE6D8D8}">
            <xm:f>$S$8='Assessment Details'!$Q$23</xm:f>
            <x14:dxf>
              <font>
                <color theme="0"/>
              </font>
              <fill>
                <patternFill>
                  <bgColor theme="0"/>
                </patternFill>
              </fill>
              <border>
                <vertical/>
                <horizontal/>
              </border>
            </x14:dxf>
          </x14:cfRule>
          <xm:sqref>N197:N210</xm:sqref>
        </x14:conditionalFormatting>
        <x14:conditionalFormatting xmlns:xm="http://schemas.microsoft.com/office/excel/2006/main">
          <x14:cfRule type="expression" priority="646" id="{D470C32E-9F2E-4ECC-A7D9-0D38145C9893}">
            <xm:f>$S$8='Assessment Details'!$Q$23</xm:f>
            <x14:dxf>
              <border>
                <left style="thin">
                  <color theme="0"/>
                </left>
                <right style="thin">
                  <color theme="0"/>
                </right>
                <top style="thin">
                  <color theme="0"/>
                </top>
                <bottom style="thin">
                  <color theme="0"/>
                </bottom>
                <vertical/>
                <horizontal/>
              </border>
            </x14:dxf>
          </x14:cfRule>
          <xm:sqref>N197:N210</xm:sqref>
        </x14:conditionalFormatting>
        <x14:conditionalFormatting xmlns:xm="http://schemas.microsoft.com/office/excel/2006/main">
          <x14:cfRule type="expression" priority="641" id="{EDDC2238-6C67-480F-9BF4-AFDF50D3084D}">
            <xm:f>$S$8='Assessment Details'!$Q$23</xm:f>
            <x14:dxf>
              <font>
                <color theme="0"/>
              </font>
              <fill>
                <patternFill>
                  <bgColor theme="0"/>
                </patternFill>
              </fill>
              <border>
                <vertical/>
                <horizontal/>
              </border>
            </x14:dxf>
          </x14:cfRule>
          <xm:sqref>U197:U210</xm:sqref>
        </x14:conditionalFormatting>
        <x14:conditionalFormatting xmlns:xm="http://schemas.microsoft.com/office/excel/2006/main">
          <x14:cfRule type="expression" priority="640" id="{E2F5C077-BDDD-4B07-A881-974B93784BEB}">
            <xm:f>$S$8='Assessment Details'!$Q$23</xm:f>
            <x14:dxf>
              <border>
                <left style="thin">
                  <color theme="0"/>
                </left>
                <right style="thin">
                  <color theme="0"/>
                </right>
                <top style="thin">
                  <color theme="0"/>
                </top>
                <bottom style="thin">
                  <color theme="0"/>
                </bottom>
                <vertical/>
                <horizontal/>
              </border>
            </x14:dxf>
          </x14:cfRule>
          <xm:sqref>U197:U210</xm:sqref>
        </x14:conditionalFormatting>
        <x14:conditionalFormatting xmlns:xm="http://schemas.microsoft.com/office/excel/2006/main">
          <x14:cfRule type="expression" priority="639" id="{3BC69D2D-165D-45A9-8D8F-499754B18D23}">
            <xm:f>$S$8='Assessment Details'!$Q$23</xm:f>
            <x14:dxf>
              <font>
                <color theme="0"/>
              </font>
              <fill>
                <patternFill>
                  <bgColor theme="0"/>
                </patternFill>
              </fill>
              <border>
                <vertical/>
                <horizontal/>
              </border>
            </x14:dxf>
          </x14:cfRule>
          <xm:sqref>W197:W210</xm:sqref>
        </x14:conditionalFormatting>
        <x14:conditionalFormatting xmlns:xm="http://schemas.microsoft.com/office/excel/2006/main">
          <x14:cfRule type="expression" priority="638" id="{192FEE80-DFE5-4358-9809-7AC90906B053}">
            <xm:f>$S$8='Assessment Details'!$Q$23</xm:f>
            <x14:dxf>
              <border>
                <left style="thin">
                  <color theme="0"/>
                </left>
                <right style="thin">
                  <color theme="0"/>
                </right>
                <top style="thin">
                  <color theme="0"/>
                </top>
                <bottom style="thin">
                  <color theme="0"/>
                </bottom>
                <vertical/>
                <horizontal/>
              </border>
            </x14:dxf>
          </x14:cfRule>
          <xm:sqref>W197:W210</xm:sqref>
        </x14:conditionalFormatting>
        <x14:conditionalFormatting xmlns:xm="http://schemas.microsoft.com/office/excel/2006/main">
          <x14:cfRule type="expression" priority="671" id="{E528BB73-543D-4A5F-96B3-784CF6DDEB34}">
            <xm:f>$Z$8='Assessment Details'!$Q$23</xm:f>
            <x14:dxf>
              <font>
                <color theme="0"/>
              </font>
              <fill>
                <patternFill>
                  <bgColor theme="0"/>
                </patternFill>
              </fill>
            </x14:dxf>
          </x14:cfRule>
          <xm:sqref>U197:Z210</xm:sqref>
        </x14:conditionalFormatting>
        <x14:conditionalFormatting xmlns:xm="http://schemas.microsoft.com/office/excel/2006/main">
          <x14:cfRule type="expression" priority="672" id="{1E2066D6-A793-40B2-9F3E-575105D5FDF6}">
            <xm:f>$Z$8='Assessment Details'!$Q$23</xm:f>
            <x14:dxf>
              <border>
                <left style="thin">
                  <color theme="0"/>
                </left>
                <right style="thin">
                  <color theme="0"/>
                </right>
                <top style="thin">
                  <color theme="0"/>
                </top>
                <bottom style="thin">
                  <color theme="0"/>
                </bottom>
                <vertical/>
                <horizontal/>
              </border>
            </x14:dxf>
          </x14:cfRule>
          <xm:sqref>U197:Z210</xm:sqref>
        </x14:conditionalFormatting>
        <x14:conditionalFormatting xmlns:xm="http://schemas.microsoft.com/office/excel/2006/main">
          <x14:cfRule type="expression" priority="622" id="{A622B995-6D9D-4D80-BA4E-8DA1A9453462}">
            <xm:f>$S$8='Assessment Details'!$Q$23</xm:f>
            <x14:dxf>
              <font>
                <color theme="0"/>
              </font>
              <fill>
                <patternFill>
                  <bgColor theme="0"/>
                </patternFill>
              </fill>
              <border>
                <vertical/>
                <horizontal/>
              </border>
            </x14:dxf>
          </x14:cfRule>
          <xm:sqref>N214:S227</xm:sqref>
        </x14:conditionalFormatting>
        <x14:conditionalFormatting xmlns:xm="http://schemas.microsoft.com/office/excel/2006/main">
          <x14:cfRule type="expression" priority="621" id="{0FC0FD56-939B-4078-BC52-1911777DA96B}">
            <xm:f>$S$8='Assessment Details'!$Q$23</xm:f>
            <x14:dxf>
              <border>
                <left style="thin">
                  <color theme="0"/>
                </left>
                <right style="thin">
                  <color theme="0"/>
                </right>
                <top style="thin">
                  <color theme="0"/>
                </top>
                <bottom style="thin">
                  <color theme="0"/>
                </bottom>
                <vertical/>
                <horizontal/>
              </border>
            </x14:dxf>
          </x14:cfRule>
          <xm:sqref>N214:S227</xm:sqref>
        </x14:conditionalFormatting>
        <x14:conditionalFormatting xmlns:xm="http://schemas.microsoft.com/office/excel/2006/main">
          <x14:cfRule type="expression" priority="620" id="{D06F94AD-33C2-44A8-B55C-4E4E3995A6E8}">
            <xm:f>$S$8='Assessment Details'!$Q$23</xm:f>
            <x14:dxf>
              <font>
                <color theme="0"/>
              </font>
              <fill>
                <patternFill>
                  <bgColor theme="0"/>
                </patternFill>
              </fill>
              <border>
                <vertical/>
                <horizontal/>
              </border>
            </x14:dxf>
          </x14:cfRule>
          <xm:sqref>G214:G227</xm:sqref>
        </x14:conditionalFormatting>
        <x14:conditionalFormatting xmlns:xm="http://schemas.microsoft.com/office/excel/2006/main">
          <x14:cfRule type="expression" priority="619" id="{2F1BDC43-8D9F-4BCE-9F34-23AE00E19A4B}">
            <xm:f>$S$8='Assessment Details'!$Q$23</xm:f>
            <x14:dxf>
              <border>
                <left style="thin">
                  <color theme="0"/>
                </left>
                <right style="thin">
                  <color theme="0"/>
                </right>
                <top style="thin">
                  <color theme="0"/>
                </top>
                <bottom style="thin">
                  <color theme="0"/>
                </bottom>
                <vertical/>
                <horizontal/>
              </border>
            </x14:dxf>
          </x14:cfRule>
          <xm:sqref>G214:G227</xm:sqref>
        </x14:conditionalFormatting>
        <x14:conditionalFormatting xmlns:xm="http://schemas.microsoft.com/office/excel/2006/main">
          <x14:cfRule type="expression" priority="618" id="{859BD1F2-744F-486B-8C55-96B20456F3E0}">
            <xm:f>$S$8='Assessment Details'!$Q$23</xm:f>
            <x14:dxf>
              <font>
                <color theme="0"/>
              </font>
              <fill>
                <patternFill>
                  <bgColor theme="0"/>
                </patternFill>
              </fill>
              <border>
                <vertical/>
                <horizontal/>
              </border>
            </x14:dxf>
          </x14:cfRule>
          <xm:sqref>U214:U227</xm:sqref>
        </x14:conditionalFormatting>
        <x14:conditionalFormatting xmlns:xm="http://schemas.microsoft.com/office/excel/2006/main">
          <x14:cfRule type="expression" priority="617" id="{6B6532E9-94D4-4CB6-B791-5B4CE536DDAB}">
            <xm:f>$S$8='Assessment Details'!$Q$23</xm:f>
            <x14:dxf>
              <border>
                <left style="thin">
                  <color theme="0"/>
                </left>
                <right style="thin">
                  <color theme="0"/>
                </right>
                <top style="thin">
                  <color theme="0"/>
                </top>
                <bottom style="thin">
                  <color theme="0"/>
                </bottom>
                <vertical/>
                <horizontal/>
              </border>
            </x14:dxf>
          </x14:cfRule>
          <xm:sqref>U214:U227</xm:sqref>
        </x14:conditionalFormatting>
        <x14:conditionalFormatting xmlns:xm="http://schemas.microsoft.com/office/excel/2006/main">
          <x14:cfRule type="expression" priority="612" id="{D5EEB7E8-075A-482B-AFC1-51C683A2E573}">
            <xm:f>$S$8='Assessment Details'!$Q$23</xm:f>
            <x14:dxf>
              <font>
                <color theme="0"/>
              </font>
              <fill>
                <patternFill>
                  <bgColor theme="0"/>
                </patternFill>
              </fill>
              <border>
                <vertical/>
                <horizontal/>
              </border>
            </x14:dxf>
          </x14:cfRule>
          <xm:sqref>N214:N227</xm:sqref>
        </x14:conditionalFormatting>
        <x14:conditionalFormatting xmlns:xm="http://schemas.microsoft.com/office/excel/2006/main">
          <x14:cfRule type="expression" priority="611" id="{0B813027-90C8-4BFC-A25A-05CF56010166}">
            <xm:f>$S$8='Assessment Details'!$Q$23</xm:f>
            <x14:dxf>
              <border>
                <left style="thin">
                  <color theme="0"/>
                </left>
                <right style="thin">
                  <color theme="0"/>
                </right>
                <top style="thin">
                  <color theme="0"/>
                </top>
                <bottom style="thin">
                  <color theme="0"/>
                </bottom>
                <vertical/>
                <horizontal/>
              </border>
            </x14:dxf>
          </x14:cfRule>
          <xm:sqref>N214:N227</xm:sqref>
        </x14:conditionalFormatting>
        <x14:conditionalFormatting xmlns:xm="http://schemas.microsoft.com/office/excel/2006/main">
          <x14:cfRule type="expression" priority="606" id="{93639341-C588-40F7-9B23-91C6EB324DC0}">
            <xm:f>$S$8='Assessment Details'!$Q$23</xm:f>
            <x14:dxf>
              <font>
                <color theme="0"/>
              </font>
              <fill>
                <patternFill>
                  <bgColor theme="0"/>
                </patternFill>
              </fill>
              <border>
                <vertical/>
                <horizontal/>
              </border>
            </x14:dxf>
          </x14:cfRule>
          <xm:sqref>U214:U227</xm:sqref>
        </x14:conditionalFormatting>
        <x14:conditionalFormatting xmlns:xm="http://schemas.microsoft.com/office/excel/2006/main">
          <x14:cfRule type="expression" priority="605" id="{7B7128F1-54B0-4D1C-81B6-79A14A8DBC5D}">
            <xm:f>$S$8='Assessment Details'!$Q$23</xm:f>
            <x14:dxf>
              <border>
                <left style="thin">
                  <color theme="0"/>
                </left>
                <right style="thin">
                  <color theme="0"/>
                </right>
                <top style="thin">
                  <color theme="0"/>
                </top>
                <bottom style="thin">
                  <color theme="0"/>
                </bottom>
                <vertical/>
                <horizontal/>
              </border>
            </x14:dxf>
          </x14:cfRule>
          <xm:sqref>U214:U227</xm:sqref>
        </x14:conditionalFormatting>
        <x14:conditionalFormatting xmlns:xm="http://schemas.microsoft.com/office/excel/2006/main">
          <x14:cfRule type="expression" priority="604" id="{CAEE13B0-6E62-49E8-8123-F42128112D58}">
            <xm:f>$S$8='Assessment Details'!$Q$23</xm:f>
            <x14:dxf>
              <font>
                <color theme="0"/>
              </font>
              <fill>
                <patternFill>
                  <bgColor theme="0"/>
                </patternFill>
              </fill>
              <border>
                <vertical/>
                <horizontal/>
              </border>
            </x14:dxf>
          </x14:cfRule>
          <xm:sqref>W214:W227</xm:sqref>
        </x14:conditionalFormatting>
        <x14:conditionalFormatting xmlns:xm="http://schemas.microsoft.com/office/excel/2006/main">
          <x14:cfRule type="expression" priority="603" id="{B122DFB8-CD2D-4DCF-B071-7928086D03E9}">
            <xm:f>$S$8='Assessment Details'!$Q$23</xm:f>
            <x14:dxf>
              <border>
                <left style="thin">
                  <color theme="0"/>
                </left>
                <right style="thin">
                  <color theme="0"/>
                </right>
                <top style="thin">
                  <color theme="0"/>
                </top>
                <bottom style="thin">
                  <color theme="0"/>
                </bottom>
                <vertical/>
                <horizontal/>
              </border>
            </x14:dxf>
          </x14:cfRule>
          <xm:sqref>W214:W227</xm:sqref>
        </x14:conditionalFormatting>
        <x14:conditionalFormatting xmlns:xm="http://schemas.microsoft.com/office/excel/2006/main">
          <x14:cfRule type="expression" priority="636" id="{7C88334D-52CD-4F47-88C6-30AD86C01FC2}">
            <xm:f>$Z$8='Assessment Details'!$Q$23</xm:f>
            <x14:dxf>
              <font>
                <color theme="0"/>
              </font>
              <fill>
                <patternFill>
                  <bgColor theme="0"/>
                </patternFill>
              </fill>
            </x14:dxf>
          </x14:cfRule>
          <xm:sqref>U214:Z227</xm:sqref>
        </x14:conditionalFormatting>
        <x14:conditionalFormatting xmlns:xm="http://schemas.microsoft.com/office/excel/2006/main">
          <x14:cfRule type="expression" priority="637" id="{C715343C-CBDE-46AC-8E04-F1520CC08A4D}">
            <xm:f>$Z$8='Assessment Details'!$Q$23</xm:f>
            <x14:dxf>
              <border>
                <left style="thin">
                  <color theme="0"/>
                </left>
                <right style="thin">
                  <color theme="0"/>
                </right>
                <top style="thin">
                  <color theme="0"/>
                </top>
                <bottom style="thin">
                  <color theme="0"/>
                </bottom>
                <vertical/>
                <horizontal/>
              </border>
            </x14:dxf>
          </x14:cfRule>
          <xm:sqref>U214:Z227</xm:sqref>
        </x14:conditionalFormatting>
        <x14:conditionalFormatting xmlns:xm="http://schemas.microsoft.com/office/excel/2006/main">
          <x14:cfRule type="expression" priority="599" id="{1D0B6816-0ACD-49D3-AC26-20489EC84DC6}">
            <xm:f>$S$8='Assessment Details'!$Q$23</xm:f>
            <x14:dxf>
              <font>
                <color theme="0"/>
              </font>
              <fill>
                <patternFill>
                  <bgColor theme="0"/>
                </patternFill>
              </fill>
              <border>
                <vertical/>
                <horizontal/>
              </border>
            </x14:dxf>
          </x14:cfRule>
          <xm:sqref>N119:S119</xm:sqref>
        </x14:conditionalFormatting>
        <x14:conditionalFormatting xmlns:xm="http://schemas.microsoft.com/office/excel/2006/main">
          <x14:cfRule type="expression" priority="598" id="{D60F16AA-CFD6-478C-B82B-6628FEEA277D}">
            <xm:f>$S$8='Assessment Details'!$Q$23</xm:f>
            <x14:dxf>
              <border>
                <left style="thin">
                  <color theme="0"/>
                </left>
                <right style="thin">
                  <color theme="0"/>
                </right>
                <top style="thin">
                  <color theme="0"/>
                </top>
                <bottom style="thin">
                  <color theme="0"/>
                </bottom>
                <vertical/>
                <horizontal/>
              </border>
            </x14:dxf>
          </x14:cfRule>
          <xm:sqref>N119:S119</xm:sqref>
        </x14:conditionalFormatting>
        <x14:conditionalFormatting xmlns:xm="http://schemas.microsoft.com/office/excel/2006/main">
          <x14:cfRule type="expression" priority="601" id="{356C8871-B85B-4DC4-B3B6-F9AE9E51B2A7}">
            <xm:f>$Z$8='Assessment Details'!$Q$23</xm:f>
            <x14:dxf>
              <font>
                <color theme="0"/>
              </font>
              <fill>
                <patternFill>
                  <bgColor theme="0"/>
                </patternFill>
              </fill>
            </x14:dxf>
          </x14:cfRule>
          <xm:sqref>U119:Z119</xm:sqref>
        </x14:conditionalFormatting>
        <x14:conditionalFormatting xmlns:xm="http://schemas.microsoft.com/office/excel/2006/main">
          <x14:cfRule type="expression" priority="602" id="{EE1426CC-AADA-4C43-89C9-CBC68939AD4E}">
            <xm:f>$Z$8='Assessment Details'!$Q$23</xm:f>
            <x14:dxf>
              <border>
                <left style="thin">
                  <color theme="0"/>
                </left>
                <right style="thin">
                  <color theme="0"/>
                </right>
                <top style="thin">
                  <color theme="0"/>
                </top>
                <bottom style="thin">
                  <color theme="0"/>
                </bottom>
                <vertical/>
                <horizontal/>
              </border>
            </x14:dxf>
          </x14:cfRule>
          <xm:sqref>U119:Z119</xm:sqref>
        </x14:conditionalFormatting>
        <x14:conditionalFormatting xmlns:xm="http://schemas.microsoft.com/office/excel/2006/main">
          <x14:cfRule type="expression" priority="570" id="{AAC646EB-E609-4B62-BA1C-07FADE370399}">
            <xm:f>$S$8='Assessment Details'!$Q$23</xm:f>
            <x14:dxf>
              <font>
                <color theme="0"/>
              </font>
              <fill>
                <patternFill>
                  <bgColor theme="0"/>
                </patternFill>
              </fill>
              <border>
                <vertical/>
                <horizontal/>
              </border>
            </x14:dxf>
          </x14:cfRule>
          <xm:sqref>N118:S118</xm:sqref>
        </x14:conditionalFormatting>
        <x14:conditionalFormatting xmlns:xm="http://schemas.microsoft.com/office/excel/2006/main">
          <x14:cfRule type="expression" priority="569" id="{9F1C9523-6848-4855-B1CE-296AC42A3F84}">
            <xm:f>$S$8='Assessment Details'!$Q$23</xm:f>
            <x14:dxf>
              <border>
                <left style="thin">
                  <color theme="0"/>
                </left>
                <right style="thin">
                  <color theme="0"/>
                </right>
                <top style="thin">
                  <color theme="0"/>
                </top>
                <bottom style="thin">
                  <color theme="0"/>
                </bottom>
                <vertical/>
                <horizontal/>
              </border>
            </x14:dxf>
          </x14:cfRule>
          <xm:sqref>N118:S118</xm:sqref>
        </x14:conditionalFormatting>
        <x14:conditionalFormatting xmlns:xm="http://schemas.microsoft.com/office/excel/2006/main">
          <x14:cfRule type="expression" priority="584" id="{2099D480-B086-4F8D-83F6-F22D9B86716E}">
            <xm:f>$Z$8='Assessment Details'!$Q$23</xm:f>
            <x14:dxf>
              <font>
                <color theme="0"/>
              </font>
              <fill>
                <patternFill>
                  <bgColor theme="0"/>
                </patternFill>
              </fill>
            </x14:dxf>
          </x14:cfRule>
          <xm:sqref>U118:Z118</xm:sqref>
        </x14:conditionalFormatting>
        <x14:conditionalFormatting xmlns:xm="http://schemas.microsoft.com/office/excel/2006/main">
          <x14:cfRule type="expression" priority="585" id="{82BA2FFD-9433-4653-AA4C-7E011B5F0442}">
            <xm:f>$Z$8='Assessment Details'!$Q$23</xm:f>
            <x14:dxf>
              <border>
                <left style="thin">
                  <color theme="0"/>
                </left>
                <right style="thin">
                  <color theme="0"/>
                </right>
                <top style="thin">
                  <color theme="0"/>
                </top>
                <bottom style="thin">
                  <color theme="0"/>
                </bottom>
                <vertical/>
                <horizontal/>
              </border>
            </x14:dxf>
          </x14:cfRule>
          <xm:sqref>U118:Z118</xm:sqref>
        </x14:conditionalFormatting>
        <x14:conditionalFormatting xmlns:xm="http://schemas.microsoft.com/office/excel/2006/main">
          <x14:cfRule type="expression" priority="553" id="{C5236988-C79D-4852-8999-11FFAE35BC9E}">
            <xm:f>$S$8='Assessment Details'!$Q$23</xm:f>
            <x14:dxf>
              <font>
                <color theme="0"/>
              </font>
              <fill>
                <patternFill>
                  <bgColor theme="0"/>
                </patternFill>
              </fill>
              <border>
                <vertical/>
                <horizontal/>
              </border>
            </x14:dxf>
          </x14:cfRule>
          <xm:sqref>N117:S117</xm:sqref>
        </x14:conditionalFormatting>
        <x14:conditionalFormatting xmlns:xm="http://schemas.microsoft.com/office/excel/2006/main">
          <x14:cfRule type="expression" priority="552" id="{DDEF06B5-E1D9-4BD4-89DA-28BA0E1AE4FC}">
            <xm:f>$S$8='Assessment Details'!$Q$23</xm:f>
            <x14:dxf>
              <border>
                <left style="thin">
                  <color theme="0"/>
                </left>
                <right style="thin">
                  <color theme="0"/>
                </right>
                <top style="thin">
                  <color theme="0"/>
                </top>
                <bottom style="thin">
                  <color theme="0"/>
                </bottom>
                <vertical/>
                <horizontal/>
              </border>
            </x14:dxf>
          </x14:cfRule>
          <xm:sqref>N117:S117</xm:sqref>
        </x14:conditionalFormatting>
        <x14:conditionalFormatting xmlns:xm="http://schemas.microsoft.com/office/excel/2006/main">
          <x14:cfRule type="expression" priority="551" id="{C347AA3C-D0B8-4F09-B4D1-36DB18DE78EF}">
            <xm:f>$S$8='Assessment Details'!$Q$23</xm:f>
            <x14:dxf>
              <font>
                <color theme="0"/>
              </font>
              <fill>
                <patternFill>
                  <bgColor theme="0"/>
                </patternFill>
              </fill>
              <border>
                <vertical/>
                <horizontal/>
              </border>
            </x14:dxf>
          </x14:cfRule>
          <xm:sqref>G117</xm:sqref>
        </x14:conditionalFormatting>
        <x14:conditionalFormatting xmlns:xm="http://schemas.microsoft.com/office/excel/2006/main">
          <x14:cfRule type="expression" priority="550" id="{8968B4EF-1BC8-4A39-B0EC-CDE08651E6BB}">
            <xm:f>$S$8='Assessment Details'!$Q$23</xm:f>
            <x14:dxf>
              <border>
                <left style="thin">
                  <color theme="0"/>
                </left>
                <right style="thin">
                  <color theme="0"/>
                </right>
                <top style="thin">
                  <color theme="0"/>
                </top>
                <bottom style="thin">
                  <color theme="0"/>
                </bottom>
                <vertical/>
                <horizontal/>
              </border>
            </x14:dxf>
          </x14:cfRule>
          <xm:sqref>G117</xm:sqref>
        </x14:conditionalFormatting>
        <x14:conditionalFormatting xmlns:xm="http://schemas.microsoft.com/office/excel/2006/main">
          <x14:cfRule type="expression" priority="549" id="{69D85CA4-253D-4379-BE5F-2600F332D9AE}">
            <xm:f>$S$8='Assessment Details'!$Q$23</xm:f>
            <x14:dxf>
              <font>
                <color theme="0"/>
              </font>
              <fill>
                <patternFill>
                  <bgColor theme="0"/>
                </patternFill>
              </fill>
              <border>
                <vertical/>
                <horizontal/>
              </border>
            </x14:dxf>
          </x14:cfRule>
          <xm:sqref>U117</xm:sqref>
        </x14:conditionalFormatting>
        <x14:conditionalFormatting xmlns:xm="http://schemas.microsoft.com/office/excel/2006/main">
          <x14:cfRule type="expression" priority="548" id="{5C0A885D-4C5B-45DD-92FD-4D0E01D2BDDC}">
            <xm:f>$S$8='Assessment Details'!$Q$23</xm:f>
            <x14:dxf>
              <border>
                <left style="thin">
                  <color theme="0"/>
                </left>
                <right style="thin">
                  <color theme="0"/>
                </right>
                <top style="thin">
                  <color theme="0"/>
                </top>
                <bottom style="thin">
                  <color theme="0"/>
                </bottom>
                <vertical/>
                <horizontal/>
              </border>
            </x14:dxf>
          </x14:cfRule>
          <xm:sqref>U117</xm:sqref>
        </x14:conditionalFormatting>
        <x14:conditionalFormatting xmlns:xm="http://schemas.microsoft.com/office/excel/2006/main">
          <x14:cfRule type="expression" priority="547" id="{D376F328-03D9-4CEE-8BAC-7288D8179742}">
            <xm:f>$S$8='Assessment Details'!$Q$23</xm:f>
            <x14:dxf>
              <font>
                <color theme="0"/>
              </font>
              <fill>
                <patternFill>
                  <bgColor theme="0"/>
                </patternFill>
              </fill>
              <border>
                <vertical/>
                <horizontal/>
              </border>
            </x14:dxf>
          </x14:cfRule>
          <xm:sqref>W117</xm:sqref>
        </x14:conditionalFormatting>
        <x14:conditionalFormatting xmlns:xm="http://schemas.microsoft.com/office/excel/2006/main">
          <x14:cfRule type="expression" priority="546" id="{16FB1F49-1E96-4739-AC5F-3FECD1E2F8D7}">
            <xm:f>$S$8='Assessment Details'!$Q$23</xm:f>
            <x14:dxf>
              <border>
                <left style="thin">
                  <color theme="0"/>
                </left>
                <right style="thin">
                  <color theme="0"/>
                </right>
                <top style="thin">
                  <color theme="0"/>
                </top>
                <bottom style="thin">
                  <color theme="0"/>
                </bottom>
                <vertical/>
                <horizontal/>
              </border>
            </x14:dxf>
          </x14:cfRule>
          <xm:sqref>W117</xm:sqref>
        </x14:conditionalFormatting>
        <x14:conditionalFormatting xmlns:xm="http://schemas.microsoft.com/office/excel/2006/main">
          <x14:cfRule type="expression" priority="567" id="{615ACCA1-B3C1-46D8-8DCA-8569DD362245}">
            <xm:f>$Z$8='Assessment Details'!$Q$23</xm:f>
            <x14:dxf>
              <font>
                <color theme="0"/>
              </font>
              <fill>
                <patternFill>
                  <bgColor theme="0"/>
                </patternFill>
              </fill>
            </x14:dxf>
          </x14:cfRule>
          <xm:sqref>U117:Z117</xm:sqref>
        </x14:conditionalFormatting>
        <x14:conditionalFormatting xmlns:xm="http://schemas.microsoft.com/office/excel/2006/main">
          <x14:cfRule type="expression" priority="568" id="{09B8543E-EE9F-4ACC-816B-265230469AE1}">
            <xm:f>$Z$8='Assessment Details'!$Q$23</xm:f>
            <x14:dxf>
              <border>
                <left style="thin">
                  <color theme="0"/>
                </left>
                <right style="thin">
                  <color theme="0"/>
                </right>
                <top style="thin">
                  <color theme="0"/>
                </top>
                <bottom style="thin">
                  <color theme="0"/>
                </bottom>
                <vertical/>
                <horizontal/>
              </border>
            </x14:dxf>
          </x14:cfRule>
          <xm:sqref>U117:Z117</xm:sqref>
        </x14:conditionalFormatting>
        <x14:conditionalFormatting xmlns:xm="http://schemas.microsoft.com/office/excel/2006/main">
          <x14:cfRule type="expression" priority="542" id="{065B54E9-10FD-4A6F-ABC8-5F7EE8EA1D21}">
            <xm:f>$S$8='Assessment Details'!$Q$23</xm:f>
            <x14:dxf>
              <font>
                <color theme="0"/>
              </font>
              <fill>
                <patternFill>
                  <bgColor theme="0"/>
                </patternFill>
              </fill>
              <border>
                <vertical/>
                <horizontal/>
              </border>
            </x14:dxf>
          </x14:cfRule>
          <xm:sqref>N149:S149</xm:sqref>
        </x14:conditionalFormatting>
        <x14:conditionalFormatting xmlns:xm="http://schemas.microsoft.com/office/excel/2006/main">
          <x14:cfRule type="expression" priority="541" id="{6A970959-C929-4159-981D-2B2BF03B0E28}">
            <xm:f>$S$8='Assessment Details'!$Q$23</xm:f>
            <x14:dxf>
              <border>
                <left style="thin">
                  <color theme="0"/>
                </left>
                <right style="thin">
                  <color theme="0"/>
                </right>
                <top style="thin">
                  <color theme="0"/>
                </top>
                <bottom style="thin">
                  <color theme="0"/>
                </bottom>
                <vertical/>
                <horizontal/>
              </border>
            </x14:dxf>
          </x14:cfRule>
          <xm:sqref>N149:S149</xm:sqref>
        </x14:conditionalFormatting>
        <x14:conditionalFormatting xmlns:xm="http://schemas.microsoft.com/office/excel/2006/main">
          <x14:cfRule type="expression" priority="544" id="{5D0546AA-2DA6-4AAE-94D6-686ECE21A073}">
            <xm:f>$Z$8='Assessment Details'!$Q$23</xm:f>
            <x14:dxf>
              <font>
                <color theme="0"/>
              </font>
              <fill>
                <patternFill>
                  <bgColor theme="0"/>
                </patternFill>
              </fill>
            </x14:dxf>
          </x14:cfRule>
          <xm:sqref>U149:Z149</xm:sqref>
        </x14:conditionalFormatting>
        <x14:conditionalFormatting xmlns:xm="http://schemas.microsoft.com/office/excel/2006/main">
          <x14:cfRule type="expression" priority="545" id="{3E2AAD29-A6D9-4014-8E03-38B448FE21C0}">
            <xm:f>$Z$8='Assessment Details'!$Q$23</xm:f>
            <x14:dxf>
              <border>
                <left style="thin">
                  <color theme="0"/>
                </left>
                <right style="thin">
                  <color theme="0"/>
                </right>
                <top style="thin">
                  <color theme="0"/>
                </top>
                <bottom style="thin">
                  <color theme="0"/>
                </bottom>
                <vertical/>
                <horizontal/>
              </border>
            </x14:dxf>
          </x14:cfRule>
          <xm:sqref>U149:Z149</xm:sqref>
        </x14:conditionalFormatting>
        <x14:conditionalFormatting xmlns:xm="http://schemas.microsoft.com/office/excel/2006/main">
          <x14:cfRule type="expression" priority="496" id="{EFF4629E-F88C-401C-B24C-4393F3F8C395}">
            <xm:f>$S$8='Assessment Details'!$Q$23</xm:f>
            <x14:dxf>
              <font>
                <color theme="0"/>
              </font>
              <fill>
                <patternFill>
                  <bgColor theme="0"/>
                </patternFill>
              </fill>
              <border>
                <vertical/>
                <horizontal/>
              </border>
            </x14:dxf>
          </x14:cfRule>
          <xm:sqref>N148:S148</xm:sqref>
        </x14:conditionalFormatting>
        <x14:conditionalFormatting xmlns:xm="http://schemas.microsoft.com/office/excel/2006/main">
          <x14:cfRule type="expression" priority="495" id="{D2372C6D-1B3D-4954-940A-8D4EAD377660}">
            <xm:f>$S$8='Assessment Details'!$Q$23</xm:f>
            <x14:dxf>
              <border>
                <left style="thin">
                  <color theme="0"/>
                </left>
                <right style="thin">
                  <color theme="0"/>
                </right>
                <top style="thin">
                  <color theme="0"/>
                </top>
                <bottom style="thin">
                  <color theme="0"/>
                </bottom>
                <vertical/>
                <horizontal/>
              </border>
            </x14:dxf>
          </x14:cfRule>
          <xm:sqref>N148:S148</xm:sqref>
        </x14:conditionalFormatting>
        <x14:conditionalFormatting xmlns:xm="http://schemas.microsoft.com/office/excel/2006/main">
          <x14:cfRule type="expression" priority="510" id="{C7AF57F1-B3E5-46E1-A3EA-2655E8B396D8}">
            <xm:f>$Z$8='Assessment Details'!$Q$23</xm:f>
            <x14:dxf>
              <font>
                <color theme="0"/>
              </font>
              <fill>
                <patternFill>
                  <bgColor theme="0"/>
                </patternFill>
              </fill>
            </x14:dxf>
          </x14:cfRule>
          <xm:sqref>U148:Z148</xm:sqref>
        </x14:conditionalFormatting>
        <x14:conditionalFormatting xmlns:xm="http://schemas.microsoft.com/office/excel/2006/main">
          <x14:cfRule type="expression" priority="511" id="{293256E3-6A2E-441F-9171-D17EC6DDEFEF}">
            <xm:f>$Z$8='Assessment Details'!$Q$23</xm:f>
            <x14:dxf>
              <border>
                <left style="thin">
                  <color theme="0"/>
                </left>
                <right style="thin">
                  <color theme="0"/>
                </right>
                <top style="thin">
                  <color theme="0"/>
                </top>
                <bottom style="thin">
                  <color theme="0"/>
                </bottom>
                <vertical/>
                <horizontal/>
              </border>
            </x14:dxf>
          </x14:cfRule>
          <xm:sqref>U148:Z148</xm:sqref>
        </x14:conditionalFormatting>
        <x14:conditionalFormatting xmlns:xm="http://schemas.microsoft.com/office/excel/2006/main">
          <x14:cfRule type="expression" priority="479" id="{3C999881-22D4-4377-B422-96E7BA4A6D7C}">
            <xm:f>$S$8='Assessment Details'!$Q$23</xm:f>
            <x14:dxf>
              <font>
                <color theme="0"/>
              </font>
              <fill>
                <patternFill>
                  <bgColor theme="0"/>
                </patternFill>
              </fill>
              <border>
                <vertical/>
                <horizontal/>
              </border>
            </x14:dxf>
          </x14:cfRule>
          <xm:sqref>N147:S147</xm:sqref>
        </x14:conditionalFormatting>
        <x14:conditionalFormatting xmlns:xm="http://schemas.microsoft.com/office/excel/2006/main">
          <x14:cfRule type="expression" priority="478" id="{9EA097CD-30CD-4E04-894B-CC20B8E1FC75}">
            <xm:f>$S$8='Assessment Details'!$Q$23</xm:f>
            <x14:dxf>
              <border>
                <left style="thin">
                  <color theme="0"/>
                </left>
                <right style="thin">
                  <color theme="0"/>
                </right>
                <top style="thin">
                  <color theme="0"/>
                </top>
                <bottom style="thin">
                  <color theme="0"/>
                </bottom>
                <vertical/>
                <horizontal/>
              </border>
            </x14:dxf>
          </x14:cfRule>
          <xm:sqref>N147:S147</xm:sqref>
        </x14:conditionalFormatting>
        <x14:conditionalFormatting xmlns:xm="http://schemas.microsoft.com/office/excel/2006/main">
          <x14:cfRule type="expression" priority="477" id="{71344784-8930-41DD-9068-F1A27456F2FB}">
            <xm:f>$S$8='Assessment Details'!$Q$23</xm:f>
            <x14:dxf>
              <font>
                <color theme="0"/>
              </font>
              <fill>
                <patternFill>
                  <bgColor theme="0"/>
                </patternFill>
              </fill>
              <border>
                <vertical/>
                <horizontal/>
              </border>
            </x14:dxf>
          </x14:cfRule>
          <xm:sqref>G147</xm:sqref>
        </x14:conditionalFormatting>
        <x14:conditionalFormatting xmlns:xm="http://schemas.microsoft.com/office/excel/2006/main">
          <x14:cfRule type="expression" priority="476" id="{17D3BFAC-3ED5-46B7-8A87-FDE46A9FE42C}">
            <xm:f>$S$8='Assessment Details'!$Q$23</xm:f>
            <x14:dxf>
              <border>
                <left style="thin">
                  <color theme="0"/>
                </left>
                <right style="thin">
                  <color theme="0"/>
                </right>
                <top style="thin">
                  <color theme="0"/>
                </top>
                <bottom style="thin">
                  <color theme="0"/>
                </bottom>
                <vertical/>
                <horizontal/>
              </border>
            </x14:dxf>
          </x14:cfRule>
          <xm:sqref>G147</xm:sqref>
        </x14:conditionalFormatting>
        <x14:conditionalFormatting xmlns:xm="http://schemas.microsoft.com/office/excel/2006/main">
          <x14:cfRule type="expression" priority="475" id="{4D33337E-30D9-4C34-AEC2-F855097553FE}">
            <xm:f>$S$8='Assessment Details'!$Q$23</xm:f>
            <x14:dxf>
              <font>
                <color theme="0"/>
              </font>
              <fill>
                <patternFill>
                  <bgColor theme="0"/>
                </patternFill>
              </fill>
              <border>
                <vertical/>
                <horizontal/>
              </border>
            </x14:dxf>
          </x14:cfRule>
          <xm:sqref>U147</xm:sqref>
        </x14:conditionalFormatting>
        <x14:conditionalFormatting xmlns:xm="http://schemas.microsoft.com/office/excel/2006/main">
          <x14:cfRule type="expression" priority="474" id="{6D8C878D-D96F-446E-96C6-477ED50893A3}">
            <xm:f>$S$8='Assessment Details'!$Q$23</xm:f>
            <x14:dxf>
              <border>
                <left style="thin">
                  <color theme="0"/>
                </left>
                <right style="thin">
                  <color theme="0"/>
                </right>
                <top style="thin">
                  <color theme="0"/>
                </top>
                <bottom style="thin">
                  <color theme="0"/>
                </bottom>
                <vertical/>
                <horizontal/>
              </border>
            </x14:dxf>
          </x14:cfRule>
          <xm:sqref>U147</xm:sqref>
        </x14:conditionalFormatting>
        <x14:conditionalFormatting xmlns:xm="http://schemas.microsoft.com/office/excel/2006/main">
          <x14:cfRule type="expression" priority="473" id="{15294CC7-DCC1-4D84-827F-CB285653FCF0}">
            <xm:f>$S$8='Assessment Details'!$Q$23</xm:f>
            <x14:dxf>
              <font>
                <color theme="0"/>
              </font>
              <fill>
                <patternFill>
                  <bgColor theme="0"/>
                </patternFill>
              </fill>
              <border>
                <vertical/>
                <horizontal/>
              </border>
            </x14:dxf>
          </x14:cfRule>
          <xm:sqref>W147</xm:sqref>
        </x14:conditionalFormatting>
        <x14:conditionalFormatting xmlns:xm="http://schemas.microsoft.com/office/excel/2006/main">
          <x14:cfRule type="expression" priority="472" id="{E7CDA425-F81B-49E1-93FB-886D21F2B0CF}">
            <xm:f>$S$8='Assessment Details'!$Q$23</xm:f>
            <x14:dxf>
              <border>
                <left style="thin">
                  <color theme="0"/>
                </left>
                <right style="thin">
                  <color theme="0"/>
                </right>
                <top style="thin">
                  <color theme="0"/>
                </top>
                <bottom style="thin">
                  <color theme="0"/>
                </bottom>
                <vertical/>
                <horizontal/>
              </border>
            </x14:dxf>
          </x14:cfRule>
          <xm:sqref>W147</xm:sqref>
        </x14:conditionalFormatting>
        <x14:conditionalFormatting xmlns:xm="http://schemas.microsoft.com/office/excel/2006/main">
          <x14:cfRule type="expression" priority="493" id="{03FF957A-6047-4E35-9C1E-8D0487FCDA7B}">
            <xm:f>$Z$8='Assessment Details'!$Q$23</xm:f>
            <x14:dxf>
              <font>
                <color theme="0"/>
              </font>
              <fill>
                <patternFill>
                  <bgColor theme="0"/>
                </patternFill>
              </fill>
            </x14:dxf>
          </x14:cfRule>
          <xm:sqref>U147:Z147</xm:sqref>
        </x14:conditionalFormatting>
        <x14:conditionalFormatting xmlns:xm="http://schemas.microsoft.com/office/excel/2006/main">
          <x14:cfRule type="expression" priority="494" id="{00343659-48AD-46B3-B4BB-B29A3AEFEEC2}">
            <xm:f>$Z$8='Assessment Details'!$Q$23</xm:f>
            <x14:dxf>
              <border>
                <left style="thin">
                  <color theme="0"/>
                </left>
                <right style="thin">
                  <color theme="0"/>
                </right>
                <top style="thin">
                  <color theme="0"/>
                </top>
                <bottom style="thin">
                  <color theme="0"/>
                </bottom>
                <vertical/>
                <horizontal/>
              </border>
            </x14:dxf>
          </x14:cfRule>
          <xm:sqref>U147:Z147</xm:sqref>
        </x14:conditionalFormatting>
        <x14:conditionalFormatting xmlns:xm="http://schemas.microsoft.com/office/excel/2006/main">
          <x14:cfRule type="expression" priority="468" id="{FD0DBAA9-F08E-4C14-A08B-651DCC9992C3}">
            <xm:f>$S$8='Assessment Details'!$Q$23</xm:f>
            <x14:dxf>
              <font>
                <color theme="0"/>
              </font>
              <fill>
                <patternFill>
                  <bgColor theme="0"/>
                </patternFill>
              </fill>
              <border>
                <vertical/>
                <horizontal/>
              </border>
            </x14:dxf>
          </x14:cfRule>
          <xm:sqref>N164:S164</xm:sqref>
        </x14:conditionalFormatting>
        <x14:conditionalFormatting xmlns:xm="http://schemas.microsoft.com/office/excel/2006/main">
          <x14:cfRule type="expression" priority="467" id="{8F97BEAF-6DAD-4787-BD1B-9857C179295C}">
            <xm:f>$S$8='Assessment Details'!$Q$23</xm:f>
            <x14:dxf>
              <border>
                <left style="thin">
                  <color theme="0"/>
                </left>
                <right style="thin">
                  <color theme="0"/>
                </right>
                <top style="thin">
                  <color theme="0"/>
                </top>
                <bottom style="thin">
                  <color theme="0"/>
                </bottom>
                <vertical/>
                <horizontal/>
              </border>
            </x14:dxf>
          </x14:cfRule>
          <xm:sqref>N164:S164</xm:sqref>
        </x14:conditionalFormatting>
        <x14:conditionalFormatting xmlns:xm="http://schemas.microsoft.com/office/excel/2006/main">
          <x14:cfRule type="expression" priority="470" id="{141B743C-5323-4893-8270-4A989CC4771B}">
            <xm:f>$Z$8='Assessment Details'!$Q$23</xm:f>
            <x14:dxf>
              <font>
                <color theme="0"/>
              </font>
              <fill>
                <patternFill>
                  <bgColor theme="0"/>
                </patternFill>
              </fill>
            </x14:dxf>
          </x14:cfRule>
          <xm:sqref>U164:Z164</xm:sqref>
        </x14:conditionalFormatting>
        <x14:conditionalFormatting xmlns:xm="http://schemas.microsoft.com/office/excel/2006/main">
          <x14:cfRule type="expression" priority="471" id="{7735BDAE-C7D8-43C2-B4B1-85AE25DE2A5B}">
            <xm:f>$Z$8='Assessment Details'!$Q$23</xm:f>
            <x14:dxf>
              <border>
                <left style="thin">
                  <color theme="0"/>
                </left>
                <right style="thin">
                  <color theme="0"/>
                </right>
                <top style="thin">
                  <color theme="0"/>
                </top>
                <bottom style="thin">
                  <color theme="0"/>
                </bottom>
                <vertical/>
                <horizontal/>
              </border>
            </x14:dxf>
          </x14:cfRule>
          <xm:sqref>U164:Z164</xm:sqref>
        </x14:conditionalFormatting>
        <x14:conditionalFormatting xmlns:xm="http://schemas.microsoft.com/office/excel/2006/main">
          <x14:cfRule type="expression" priority="405" id="{D4593B21-BCBD-41EE-93A1-FDE51180C2A0}">
            <xm:f>$S$8='Assessment Details'!$Q$23</xm:f>
            <x14:dxf>
              <font>
                <color theme="0"/>
              </font>
              <fill>
                <patternFill>
                  <bgColor theme="0"/>
                </patternFill>
              </fill>
              <border>
                <vertical/>
                <horizontal/>
              </border>
            </x14:dxf>
          </x14:cfRule>
          <xm:sqref>N163:S163</xm:sqref>
        </x14:conditionalFormatting>
        <x14:conditionalFormatting xmlns:xm="http://schemas.microsoft.com/office/excel/2006/main">
          <x14:cfRule type="expression" priority="404" id="{E86AD8DD-06EB-41C6-889C-62DF146A38E0}">
            <xm:f>$S$8='Assessment Details'!$Q$23</xm:f>
            <x14:dxf>
              <border>
                <left style="thin">
                  <color theme="0"/>
                </left>
                <right style="thin">
                  <color theme="0"/>
                </right>
                <top style="thin">
                  <color theme="0"/>
                </top>
                <bottom style="thin">
                  <color theme="0"/>
                </bottom>
                <vertical/>
                <horizontal/>
              </border>
            </x14:dxf>
          </x14:cfRule>
          <xm:sqref>N163:S163</xm:sqref>
        </x14:conditionalFormatting>
        <x14:conditionalFormatting xmlns:xm="http://schemas.microsoft.com/office/excel/2006/main">
          <x14:cfRule type="expression" priority="419" id="{CE6C71F0-8DE5-40BB-90F5-389E0D4FCAF6}">
            <xm:f>$Z$8='Assessment Details'!$Q$23</xm:f>
            <x14:dxf>
              <font>
                <color theme="0"/>
              </font>
              <fill>
                <patternFill>
                  <bgColor theme="0"/>
                </patternFill>
              </fill>
            </x14:dxf>
          </x14:cfRule>
          <xm:sqref>U163:Z163</xm:sqref>
        </x14:conditionalFormatting>
        <x14:conditionalFormatting xmlns:xm="http://schemas.microsoft.com/office/excel/2006/main">
          <x14:cfRule type="expression" priority="420" id="{B4FF73DB-7FC4-4D3A-86B8-14B54CD36108}">
            <xm:f>$Z$8='Assessment Details'!$Q$23</xm:f>
            <x14:dxf>
              <border>
                <left style="thin">
                  <color theme="0"/>
                </left>
                <right style="thin">
                  <color theme="0"/>
                </right>
                <top style="thin">
                  <color theme="0"/>
                </top>
                <bottom style="thin">
                  <color theme="0"/>
                </bottom>
                <vertical/>
                <horizontal/>
              </border>
            </x14:dxf>
          </x14:cfRule>
          <xm:sqref>U163:Z163</xm:sqref>
        </x14:conditionalFormatting>
        <x14:conditionalFormatting xmlns:xm="http://schemas.microsoft.com/office/excel/2006/main">
          <x14:cfRule type="expression" priority="400" id="{DF0939D4-5C86-416C-A01A-143B9BBE00FB}">
            <xm:f>$S$8='Assessment Details'!$Q$23</xm:f>
            <x14:dxf>
              <font>
                <color theme="0"/>
              </font>
              <fill>
                <patternFill>
                  <bgColor theme="0"/>
                </patternFill>
              </fill>
              <border>
                <vertical/>
                <horizontal/>
              </border>
            </x14:dxf>
          </x14:cfRule>
          <xm:sqref>N196:S196</xm:sqref>
        </x14:conditionalFormatting>
        <x14:conditionalFormatting xmlns:xm="http://schemas.microsoft.com/office/excel/2006/main">
          <x14:cfRule type="expression" priority="399" id="{49C30E61-8273-4E18-B379-F23FBB54C136}">
            <xm:f>$S$8='Assessment Details'!$Q$23</xm:f>
            <x14:dxf>
              <border>
                <left style="thin">
                  <color theme="0"/>
                </left>
                <right style="thin">
                  <color theme="0"/>
                </right>
                <top style="thin">
                  <color theme="0"/>
                </top>
                <bottom style="thin">
                  <color theme="0"/>
                </bottom>
                <vertical/>
                <horizontal/>
              </border>
            </x14:dxf>
          </x14:cfRule>
          <xm:sqref>N196:S196</xm:sqref>
        </x14:conditionalFormatting>
        <x14:conditionalFormatting xmlns:xm="http://schemas.microsoft.com/office/excel/2006/main">
          <x14:cfRule type="expression" priority="402" id="{FE2F6299-E911-4B63-83B8-9AD7D7FCE704}">
            <xm:f>$Z$8='Assessment Details'!$Q$23</xm:f>
            <x14:dxf>
              <font>
                <color theme="0"/>
              </font>
              <fill>
                <patternFill>
                  <bgColor theme="0"/>
                </patternFill>
              </fill>
            </x14:dxf>
          </x14:cfRule>
          <xm:sqref>U196:Z196</xm:sqref>
        </x14:conditionalFormatting>
        <x14:conditionalFormatting xmlns:xm="http://schemas.microsoft.com/office/excel/2006/main">
          <x14:cfRule type="expression" priority="403" id="{10469AA9-0936-4CA9-8992-101317D5B895}">
            <xm:f>$Z$8='Assessment Details'!$Q$23</xm:f>
            <x14:dxf>
              <border>
                <left style="thin">
                  <color theme="0"/>
                </left>
                <right style="thin">
                  <color theme="0"/>
                </right>
                <top style="thin">
                  <color theme="0"/>
                </top>
                <bottom style="thin">
                  <color theme="0"/>
                </bottom>
                <vertical/>
                <horizontal/>
              </border>
            </x14:dxf>
          </x14:cfRule>
          <xm:sqref>U196:Z196</xm:sqref>
        </x14:conditionalFormatting>
        <x14:conditionalFormatting xmlns:xm="http://schemas.microsoft.com/office/excel/2006/main">
          <x14:cfRule type="expression" priority="337" id="{172ABDCD-A906-4466-9501-00076A6F915E}">
            <xm:f>$S$8='Assessment Details'!$Q$23</xm:f>
            <x14:dxf>
              <font>
                <color theme="0"/>
              </font>
              <fill>
                <patternFill>
                  <bgColor theme="0"/>
                </patternFill>
              </fill>
              <border>
                <vertical/>
                <horizontal/>
              </border>
            </x14:dxf>
          </x14:cfRule>
          <xm:sqref>N195:S195</xm:sqref>
        </x14:conditionalFormatting>
        <x14:conditionalFormatting xmlns:xm="http://schemas.microsoft.com/office/excel/2006/main">
          <x14:cfRule type="expression" priority="336" id="{8F551B71-707E-4638-864F-D436EACC243A}">
            <xm:f>$S$8='Assessment Details'!$Q$23</xm:f>
            <x14:dxf>
              <border>
                <left style="thin">
                  <color theme="0"/>
                </left>
                <right style="thin">
                  <color theme="0"/>
                </right>
                <top style="thin">
                  <color theme="0"/>
                </top>
                <bottom style="thin">
                  <color theme="0"/>
                </bottom>
                <vertical/>
                <horizontal/>
              </border>
            </x14:dxf>
          </x14:cfRule>
          <xm:sqref>N195:S195</xm:sqref>
        </x14:conditionalFormatting>
        <x14:conditionalFormatting xmlns:xm="http://schemas.microsoft.com/office/excel/2006/main">
          <x14:cfRule type="expression" priority="351" id="{0F515721-4D9F-4F7F-93BD-6FDC7B480D17}">
            <xm:f>$Z$8='Assessment Details'!$Q$23</xm:f>
            <x14:dxf>
              <font>
                <color theme="0"/>
              </font>
              <fill>
                <patternFill>
                  <bgColor theme="0"/>
                </patternFill>
              </fill>
            </x14:dxf>
          </x14:cfRule>
          <xm:sqref>U195:Z195</xm:sqref>
        </x14:conditionalFormatting>
        <x14:conditionalFormatting xmlns:xm="http://schemas.microsoft.com/office/excel/2006/main">
          <x14:cfRule type="expression" priority="352" id="{3AADF273-AAA5-44D8-A001-A16F769A1DEA}">
            <xm:f>$Z$8='Assessment Details'!$Q$23</xm:f>
            <x14:dxf>
              <border>
                <left style="thin">
                  <color theme="0"/>
                </left>
                <right style="thin">
                  <color theme="0"/>
                </right>
                <top style="thin">
                  <color theme="0"/>
                </top>
                <bottom style="thin">
                  <color theme="0"/>
                </bottom>
                <vertical/>
                <horizontal/>
              </border>
            </x14:dxf>
          </x14:cfRule>
          <xm:sqref>U195:Z195</xm:sqref>
        </x14:conditionalFormatting>
        <x14:conditionalFormatting xmlns:xm="http://schemas.microsoft.com/office/excel/2006/main">
          <x14:cfRule type="expression" priority="320" id="{8902EC28-A13A-4568-8D35-D2BD2AC15F0E}">
            <xm:f>$S$8='Assessment Details'!$Q$23</xm:f>
            <x14:dxf>
              <font>
                <color theme="0"/>
              </font>
              <fill>
                <patternFill>
                  <bgColor theme="0"/>
                </patternFill>
              </fill>
              <border>
                <vertical/>
                <horizontal/>
              </border>
            </x14:dxf>
          </x14:cfRule>
          <xm:sqref>N162:S162</xm:sqref>
        </x14:conditionalFormatting>
        <x14:conditionalFormatting xmlns:xm="http://schemas.microsoft.com/office/excel/2006/main">
          <x14:cfRule type="expression" priority="319" id="{2BBF6B89-459D-4AE7-8F3C-7D0CDA267539}">
            <xm:f>$S$8='Assessment Details'!$Q$23</xm:f>
            <x14:dxf>
              <border>
                <left style="thin">
                  <color theme="0"/>
                </left>
                <right style="thin">
                  <color theme="0"/>
                </right>
                <top style="thin">
                  <color theme="0"/>
                </top>
                <bottom style="thin">
                  <color theme="0"/>
                </bottom>
                <vertical/>
                <horizontal/>
              </border>
            </x14:dxf>
          </x14:cfRule>
          <xm:sqref>N162:S162</xm:sqref>
        </x14:conditionalFormatting>
        <x14:conditionalFormatting xmlns:xm="http://schemas.microsoft.com/office/excel/2006/main">
          <x14:cfRule type="expression" priority="318" id="{78FAA767-EF37-463D-829F-0B1AF2BEDA83}">
            <xm:f>$S$8='Assessment Details'!$Q$23</xm:f>
            <x14:dxf>
              <font>
                <color theme="0"/>
              </font>
              <fill>
                <patternFill>
                  <bgColor theme="0"/>
                </patternFill>
              </fill>
              <border>
                <vertical/>
                <horizontal/>
              </border>
            </x14:dxf>
          </x14:cfRule>
          <xm:sqref>G162</xm:sqref>
        </x14:conditionalFormatting>
        <x14:conditionalFormatting xmlns:xm="http://schemas.microsoft.com/office/excel/2006/main">
          <x14:cfRule type="expression" priority="317" id="{59A148E8-E2E2-4C13-9BA7-4917EEFC9810}">
            <xm:f>$S$8='Assessment Details'!$Q$23</xm:f>
            <x14:dxf>
              <border>
                <left style="thin">
                  <color theme="0"/>
                </left>
                <right style="thin">
                  <color theme="0"/>
                </right>
                <top style="thin">
                  <color theme="0"/>
                </top>
                <bottom style="thin">
                  <color theme="0"/>
                </bottom>
                <vertical/>
                <horizontal/>
              </border>
            </x14:dxf>
          </x14:cfRule>
          <xm:sqref>G162</xm:sqref>
        </x14:conditionalFormatting>
        <x14:conditionalFormatting xmlns:xm="http://schemas.microsoft.com/office/excel/2006/main">
          <x14:cfRule type="expression" priority="316" id="{86C6382E-6A5F-4F5E-AC04-32CFAFDEB67A}">
            <xm:f>$S$8='Assessment Details'!$Q$23</xm:f>
            <x14:dxf>
              <font>
                <color theme="0"/>
              </font>
              <fill>
                <patternFill>
                  <bgColor theme="0"/>
                </patternFill>
              </fill>
              <border>
                <vertical/>
                <horizontal/>
              </border>
            </x14:dxf>
          </x14:cfRule>
          <xm:sqref>U162</xm:sqref>
        </x14:conditionalFormatting>
        <x14:conditionalFormatting xmlns:xm="http://schemas.microsoft.com/office/excel/2006/main">
          <x14:cfRule type="expression" priority="315" id="{F2C142DA-9146-48ED-8F06-FFE18D63DF4B}">
            <xm:f>$S$8='Assessment Details'!$Q$23</xm:f>
            <x14:dxf>
              <border>
                <left style="thin">
                  <color theme="0"/>
                </left>
                <right style="thin">
                  <color theme="0"/>
                </right>
                <top style="thin">
                  <color theme="0"/>
                </top>
                <bottom style="thin">
                  <color theme="0"/>
                </bottom>
                <vertical/>
                <horizontal/>
              </border>
            </x14:dxf>
          </x14:cfRule>
          <xm:sqref>U162</xm:sqref>
        </x14:conditionalFormatting>
        <x14:conditionalFormatting xmlns:xm="http://schemas.microsoft.com/office/excel/2006/main">
          <x14:cfRule type="expression" priority="314" id="{7764DF05-321F-47B2-B72A-C2A9A1A2FECF}">
            <xm:f>$S$8='Assessment Details'!$Q$23</xm:f>
            <x14:dxf>
              <font>
                <color theme="0"/>
              </font>
              <fill>
                <patternFill>
                  <bgColor theme="0"/>
                </patternFill>
              </fill>
              <border>
                <vertical/>
                <horizontal/>
              </border>
            </x14:dxf>
          </x14:cfRule>
          <xm:sqref>W162</xm:sqref>
        </x14:conditionalFormatting>
        <x14:conditionalFormatting xmlns:xm="http://schemas.microsoft.com/office/excel/2006/main">
          <x14:cfRule type="expression" priority="313" id="{B82C095B-4C92-4313-875D-746BDAEB18CC}">
            <xm:f>$S$8='Assessment Details'!$Q$23</xm:f>
            <x14:dxf>
              <border>
                <left style="thin">
                  <color theme="0"/>
                </left>
                <right style="thin">
                  <color theme="0"/>
                </right>
                <top style="thin">
                  <color theme="0"/>
                </top>
                <bottom style="thin">
                  <color theme="0"/>
                </bottom>
                <vertical/>
                <horizontal/>
              </border>
            </x14:dxf>
          </x14:cfRule>
          <xm:sqref>W162</xm:sqref>
        </x14:conditionalFormatting>
        <x14:conditionalFormatting xmlns:xm="http://schemas.microsoft.com/office/excel/2006/main">
          <x14:cfRule type="expression" priority="334" id="{4FFB8211-36DB-4191-95CE-5B1D4C18C8BD}">
            <xm:f>$Z$8='Assessment Details'!$Q$23</xm:f>
            <x14:dxf>
              <font>
                <color theme="0"/>
              </font>
              <fill>
                <patternFill>
                  <bgColor theme="0"/>
                </patternFill>
              </fill>
            </x14:dxf>
          </x14:cfRule>
          <xm:sqref>U162:Z162</xm:sqref>
        </x14:conditionalFormatting>
        <x14:conditionalFormatting xmlns:xm="http://schemas.microsoft.com/office/excel/2006/main">
          <x14:cfRule type="expression" priority="335" id="{872ADC80-9CAB-401C-921D-E536F46A4077}">
            <xm:f>$Z$8='Assessment Details'!$Q$23</xm:f>
            <x14:dxf>
              <border>
                <left style="thin">
                  <color theme="0"/>
                </left>
                <right style="thin">
                  <color theme="0"/>
                </right>
                <top style="thin">
                  <color theme="0"/>
                </top>
                <bottom style="thin">
                  <color theme="0"/>
                </bottom>
                <vertical/>
                <horizontal/>
              </border>
            </x14:dxf>
          </x14:cfRule>
          <xm:sqref>U162:Z162</xm:sqref>
        </x14:conditionalFormatting>
        <x14:conditionalFormatting xmlns:xm="http://schemas.microsoft.com/office/excel/2006/main">
          <x14:cfRule type="expression" priority="297" id="{1F82CB99-86B1-4C85-BE83-6F868889274E}">
            <xm:f>$S$8='Assessment Details'!$Q$23</xm:f>
            <x14:dxf>
              <font>
                <color theme="0"/>
              </font>
              <fill>
                <patternFill>
                  <bgColor theme="0"/>
                </patternFill>
              </fill>
              <border>
                <vertical/>
                <horizontal/>
              </border>
            </x14:dxf>
          </x14:cfRule>
          <xm:sqref>N194:S194</xm:sqref>
        </x14:conditionalFormatting>
        <x14:conditionalFormatting xmlns:xm="http://schemas.microsoft.com/office/excel/2006/main">
          <x14:cfRule type="expression" priority="296" id="{66C2E343-3C3F-45C5-9998-4F365A5E1218}">
            <xm:f>$S$8='Assessment Details'!$Q$23</xm:f>
            <x14:dxf>
              <border>
                <left style="thin">
                  <color theme="0"/>
                </left>
                <right style="thin">
                  <color theme="0"/>
                </right>
                <top style="thin">
                  <color theme="0"/>
                </top>
                <bottom style="thin">
                  <color theme="0"/>
                </bottom>
                <vertical/>
                <horizontal/>
              </border>
            </x14:dxf>
          </x14:cfRule>
          <xm:sqref>N194:S194</xm:sqref>
        </x14:conditionalFormatting>
        <x14:conditionalFormatting xmlns:xm="http://schemas.microsoft.com/office/excel/2006/main">
          <x14:cfRule type="expression" priority="295" id="{18E0E177-DB10-4CCD-A6DD-FD5DBC3B9C04}">
            <xm:f>$S$8='Assessment Details'!$Q$23</xm:f>
            <x14:dxf>
              <font>
                <color theme="0"/>
              </font>
              <fill>
                <patternFill>
                  <bgColor theme="0"/>
                </patternFill>
              </fill>
              <border>
                <vertical/>
                <horizontal/>
              </border>
            </x14:dxf>
          </x14:cfRule>
          <xm:sqref>G194</xm:sqref>
        </x14:conditionalFormatting>
        <x14:conditionalFormatting xmlns:xm="http://schemas.microsoft.com/office/excel/2006/main">
          <x14:cfRule type="expression" priority="294" id="{16044C0A-A5C9-418D-A32A-9B5B3A75A31B}">
            <xm:f>$S$8='Assessment Details'!$Q$23</xm:f>
            <x14:dxf>
              <border>
                <left style="thin">
                  <color theme="0"/>
                </left>
                <right style="thin">
                  <color theme="0"/>
                </right>
                <top style="thin">
                  <color theme="0"/>
                </top>
                <bottom style="thin">
                  <color theme="0"/>
                </bottom>
                <vertical/>
                <horizontal/>
              </border>
            </x14:dxf>
          </x14:cfRule>
          <xm:sqref>G194</xm:sqref>
        </x14:conditionalFormatting>
        <x14:conditionalFormatting xmlns:xm="http://schemas.microsoft.com/office/excel/2006/main">
          <x14:cfRule type="expression" priority="293" id="{2CF24D95-D6A8-4ADF-AC6C-7911EAD520DC}">
            <xm:f>$S$8='Assessment Details'!$Q$23</xm:f>
            <x14:dxf>
              <font>
                <color theme="0"/>
              </font>
              <fill>
                <patternFill>
                  <bgColor theme="0"/>
                </patternFill>
              </fill>
              <border>
                <vertical/>
                <horizontal/>
              </border>
            </x14:dxf>
          </x14:cfRule>
          <xm:sqref>U194</xm:sqref>
        </x14:conditionalFormatting>
        <x14:conditionalFormatting xmlns:xm="http://schemas.microsoft.com/office/excel/2006/main">
          <x14:cfRule type="expression" priority="292" id="{FAAED642-554E-45E4-A2BB-A825EAA86F61}">
            <xm:f>$S$8='Assessment Details'!$Q$23</xm:f>
            <x14:dxf>
              <border>
                <left style="thin">
                  <color theme="0"/>
                </left>
                <right style="thin">
                  <color theme="0"/>
                </right>
                <top style="thin">
                  <color theme="0"/>
                </top>
                <bottom style="thin">
                  <color theme="0"/>
                </bottom>
                <vertical/>
                <horizontal/>
              </border>
            </x14:dxf>
          </x14:cfRule>
          <xm:sqref>U194</xm:sqref>
        </x14:conditionalFormatting>
        <x14:conditionalFormatting xmlns:xm="http://schemas.microsoft.com/office/excel/2006/main">
          <x14:cfRule type="expression" priority="291" id="{D4D93F42-D640-4B23-AD37-7880348A1394}">
            <xm:f>$S$8='Assessment Details'!$Q$23</xm:f>
            <x14:dxf>
              <font>
                <color theme="0"/>
              </font>
              <fill>
                <patternFill>
                  <bgColor theme="0"/>
                </patternFill>
              </fill>
              <border>
                <vertical/>
                <horizontal/>
              </border>
            </x14:dxf>
          </x14:cfRule>
          <xm:sqref>W194</xm:sqref>
        </x14:conditionalFormatting>
        <x14:conditionalFormatting xmlns:xm="http://schemas.microsoft.com/office/excel/2006/main">
          <x14:cfRule type="expression" priority="290" id="{BB2B278B-8E0D-4158-AD07-028EBC4D35F8}">
            <xm:f>$S$8='Assessment Details'!$Q$23</xm:f>
            <x14:dxf>
              <border>
                <left style="thin">
                  <color theme="0"/>
                </left>
                <right style="thin">
                  <color theme="0"/>
                </right>
                <top style="thin">
                  <color theme="0"/>
                </top>
                <bottom style="thin">
                  <color theme="0"/>
                </bottom>
                <vertical/>
                <horizontal/>
              </border>
            </x14:dxf>
          </x14:cfRule>
          <xm:sqref>W194</xm:sqref>
        </x14:conditionalFormatting>
        <x14:conditionalFormatting xmlns:xm="http://schemas.microsoft.com/office/excel/2006/main">
          <x14:cfRule type="expression" priority="311" id="{5418D619-AB96-4D2C-8C16-E5050535D56A}">
            <xm:f>$Z$8='Assessment Details'!$Q$23</xm:f>
            <x14:dxf>
              <font>
                <color theme="0"/>
              </font>
              <fill>
                <patternFill>
                  <bgColor theme="0"/>
                </patternFill>
              </fill>
            </x14:dxf>
          </x14:cfRule>
          <xm:sqref>U194:Z194</xm:sqref>
        </x14:conditionalFormatting>
        <x14:conditionalFormatting xmlns:xm="http://schemas.microsoft.com/office/excel/2006/main">
          <x14:cfRule type="expression" priority="312" id="{F9F89006-FC0B-4256-99DF-91FE2392B655}">
            <xm:f>$Z$8='Assessment Details'!$Q$23</xm:f>
            <x14:dxf>
              <border>
                <left style="thin">
                  <color theme="0"/>
                </left>
                <right style="thin">
                  <color theme="0"/>
                </right>
                <top style="thin">
                  <color theme="0"/>
                </top>
                <bottom style="thin">
                  <color theme="0"/>
                </bottom>
                <vertical/>
                <horizontal/>
              </border>
            </x14:dxf>
          </x14:cfRule>
          <xm:sqref>U194:Z194</xm:sqref>
        </x14:conditionalFormatting>
        <x14:conditionalFormatting xmlns:xm="http://schemas.microsoft.com/office/excel/2006/main">
          <x14:cfRule type="expression" priority="286" id="{CFDA2C22-138A-483B-8509-AB534E825605}">
            <xm:f>$S$8='Assessment Details'!$Q$23</xm:f>
            <x14:dxf>
              <font>
                <color theme="0"/>
              </font>
              <fill>
                <patternFill>
                  <bgColor theme="0"/>
                </patternFill>
              </fill>
              <border>
                <vertical/>
                <horizontal/>
              </border>
            </x14:dxf>
          </x14:cfRule>
          <xm:sqref>N213:S213</xm:sqref>
        </x14:conditionalFormatting>
        <x14:conditionalFormatting xmlns:xm="http://schemas.microsoft.com/office/excel/2006/main">
          <x14:cfRule type="expression" priority="285" id="{0B60F656-C5EA-44CE-83A6-B02906BADB7A}">
            <xm:f>$S$8='Assessment Details'!$Q$23</xm:f>
            <x14:dxf>
              <border>
                <left style="thin">
                  <color theme="0"/>
                </left>
                <right style="thin">
                  <color theme="0"/>
                </right>
                <top style="thin">
                  <color theme="0"/>
                </top>
                <bottom style="thin">
                  <color theme="0"/>
                </bottom>
                <vertical/>
                <horizontal/>
              </border>
            </x14:dxf>
          </x14:cfRule>
          <xm:sqref>N213:S213</xm:sqref>
        </x14:conditionalFormatting>
        <x14:conditionalFormatting xmlns:xm="http://schemas.microsoft.com/office/excel/2006/main">
          <x14:cfRule type="expression" priority="288" id="{8DB40213-10E0-4BB8-975A-AF5FE67EBC1E}">
            <xm:f>$Z$8='Assessment Details'!$Q$23</xm:f>
            <x14:dxf>
              <font>
                <color theme="0"/>
              </font>
              <fill>
                <patternFill>
                  <bgColor theme="0"/>
                </patternFill>
              </fill>
            </x14:dxf>
          </x14:cfRule>
          <xm:sqref>U213:Z213</xm:sqref>
        </x14:conditionalFormatting>
        <x14:conditionalFormatting xmlns:xm="http://schemas.microsoft.com/office/excel/2006/main">
          <x14:cfRule type="expression" priority="289" id="{4FA11FC5-2EBF-4443-A1BE-F1DD9B51321A}">
            <xm:f>$Z$8='Assessment Details'!$Q$23</xm:f>
            <x14:dxf>
              <border>
                <left style="thin">
                  <color theme="0"/>
                </left>
                <right style="thin">
                  <color theme="0"/>
                </right>
                <top style="thin">
                  <color theme="0"/>
                </top>
                <bottom style="thin">
                  <color theme="0"/>
                </bottom>
                <vertical/>
                <horizontal/>
              </border>
            </x14:dxf>
          </x14:cfRule>
          <xm:sqref>U213:Z213</xm:sqref>
        </x14:conditionalFormatting>
        <x14:conditionalFormatting xmlns:xm="http://schemas.microsoft.com/office/excel/2006/main">
          <x14:cfRule type="expression" priority="223" id="{B4C9156D-5484-4C85-A329-B50BC81B0CA6}">
            <xm:f>$S$8='Assessment Details'!$Q$23</xm:f>
            <x14:dxf>
              <font>
                <color theme="0"/>
              </font>
              <fill>
                <patternFill>
                  <bgColor theme="0"/>
                </patternFill>
              </fill>
              <border>
                <vertical/>
                <horizontal/>
              </border>
            </x14:dxf>
          </x14:cfRule>
          <xm:sqref>N212:S212</xm:sqref>
        </x14:conditionalFormatting>
        <x14:conditionalFormatting xmlns:xm="http://schemas.microsoft.com/office/excel/2006/main">
          <x14:cfRule type="expression" priority="222" id="{3CCA4A0F-7AEA-4F04-B887-0EED96879A3A}">
            <xm:f>$S$8='Assessment Details'!$Q$23</xm:f>
            <x14:dxf>
              <border>
                <left style="thin">
                  <color theme="0"/>
                </left>
                <right style="thin">
                  <color theme="0"/>
                </right>
                <top style="thin">
                  <color theme="0"/>
                </top>
                <bottom style="thin">
                  <color theme="0"/>
                </bottom>
                <vertical/>
                <horizontal/>
              </border>
            </x14:dxf>
          </x14:cfRule>
          <xm:sqref>N212:S212</xm:sqref>
        </x14:conditionalFormatting>
        <x14:conditionalFormatting xmlns:xm="http://schemas.microsoft.com/office/excel/2006/main">
          <x14:cfRule type="expression" priority="237" id="{703E1FBF-3B26-4E3A-8C8D-EF6DAF2769D1}">
            <xm:f>$Z$8='Assessment Details'!$Q$23</xm:f>
            <x14:dxf>
              <font>
                <color theme="0"/>
              </font>
              <fill>
                <patternFill>
                  <bgColor theme="0"/>
                </patternFill>
              </fill>
            </x14:dxf>
          </x14:cfRule>
          <xm:sqref>U212:Z212</xm:sqref>
        </x14:conditionalFormatting>
        <x14:conditionalFormatting xmlns:xm="http://schemas.microsoft.com/office/excel/2006/main">
          <x14:cfRule type="expression" priority="238" id="{D88F92AB-A965-4BC7-97E8-AF125E66C6FB}">
            <xm:f>$Z$8='Assessment Details'!$Q$23</xm:f>
            <x14:dxf>
              <border>
                <left style="thin">
                  <color theme="0"/>
                </left>
                <right style="thin">
                  <color theme="0"/>
                </right>
                <top style="thin">
                  <color theme="0"/>
                </top>
                <bottom style="thin">
                  <color theme="0"/>
                </bottom>
                <vertical/>
                <horizontal/>
              </border>
            </x14:dxf>
          </x14:cfRule>
          <xm:sqref>U212:Z212</xm:sqref>
        </x14:conditionalFormatting>
        <x14:conditionalFormatting xmlns:xm="http://schemas.microsoft.com/office/excel/2006/main">
          <x14:cfRule type="expression" priority="206" id="{C45035BF-5A91-4958-AE9C-24FEBAB4A100}">
            <xm:f>$S$8='Assessment Details'!$Q$23</xm:f>
            <x14:dxf>
              <font>
                <color theme="0"/>
              </font>
              <fill>
                <patternFill>
                  <bgColor theme="0"/>
                </patternFill>
              </fill>
              <border>
                <vertical/>
                <horizontal/>
              </border>
            </x14:dxf>
          </x14:cfRule>
          <xm:sqref>N211:S211</xm:sqref>
        </x14:conditionalFormatting>
        <x14:conditionalFormatting xmlns:xm="http://schemas.microsoft.com/office/excel/2006/main">
          <x14:cfRule type="expression" priority="205" id="{91867CCB-12BA-46AA-A3BA-FE85BD8D3FFF}">
            <xm:f>$S$8='Assessment Details'!$Q$23</xm:f>
            <x14:dxf>
              <border>
                <left style="thin">
                  <color theme="0"/>
                </left>
                <right style="thin">
                  <color theme="0"/>
                </right>
                <top style="thin">
                  <color theme="0"/>
                </top>
                <bottom style="thin">
                  <color theme="0"/>
                </bottom>
                <vertical/>
                <horizontal/>
              </border>
            </x14:dxf>
          </x14:cfRule>
          <xm:sqref>N211:S211</xm:sqref>
        </x14:conditionalFormatting>
        <x14:conditionalFormatting xmlns:xm="http://schemas.microsoft.com/office/excel/2006/main">
          <x14:cfRule type="expression" priority="204" id="{3EEB2744-C09A-4B21-942E-2E8AFADE296C}">
            <xm:f>$S$8='Assessment Details'!$Q$23</xm:f>
            <x14:dxf>
              <font>
                <color theme="0"/>
              </font>
              <fill>
                <patternFill>
                  <bgColor theme="0"/>
                </patternFill>
              </fill>
              <border>
                <vertical/>
                <horizontal/>
              </border>
            </x14:dxf>
          </x14:cfRule>
          <xm:sqref>G211</xm:sqref>
        </x14:conditionalFormatting>
        <x14:conditionalFormatting xmlns:xm="http://schemas.microsoft.com/office/excel/2006/main">
          <x14:cfRule type="expression" priority="203" id="{9FCDED50-49C0-4E16-9FA5-DE4D7BFDAA9E}">
            <xm:f>$S$8='Assessment Details'!$Q$23</xm:f>
            <x14:dxf>
              <border>
                <left style="thin">
                  <color theme="0"/>
                </left>
                <right style="thin">
                  <color theme="0"/>
                </right>
                <top style="thin">
                  <color theme="0"/>
                </top>
                <bottom style="thin">
                  <color theme="0"/>
                </bottom>
                <vertical/>
                <horizontal/>
              </border>
            </x14:dxf>
          </x14:cfRule>
          <xm:sqref>G211</xm:sqref>
        </x14:conditionalFormatting>
        <x14:conditionalFormatting xmlns:xm="http://schemas.microsoft.com/office/excel/2006/main">
          <x14:cfRule type="expression" priority="202" id="{C76EDFE4-027C-4B51-AA40-A98000EFB61A}">
            <xm:f>$S$8='Assessment Details'!$Q$23</xm:f>
            <x14:dxf>
              <font>
                <color theme="0"/>
              </font>
              <fill>
                <patternFill>
                  <bgColor theme="0"/>
                </patternFill>
              </fill>
              <border>
                <vertical/>
                <horizontal/>
              </border>
            </x14:dxf>
          </x14:cfRule>
          <xm:sqref>U211</xm:sqref>
        </x14:conditionalFormatting>
        <x14:conditionalFormatting xmlns:xm="http://schemas.microsoft.com/office/excel/2006/main">
          <x14:cfRule type="expression" priority="201" id="{2C1A8F4E-C427-4F32-B439-0096900E19B2}">
            <xm:f>$S$8='Assessment Details'!$Q$23</xm:f>
            <x14:dxf>
              <border>
                <left style="thin">
                  <color theme="0"/>
                </left>
                <right style="thin">
                  <color theme="0"/>
                </right>
                <top style="thin">
                  <color theme="0"/>
                </top>
                <bottom style="thin">
                  <color theme="0"/>
                </bottom>
                <vertical/>
                <horizontal/>
              </border>
            </x14:dxf>
          </x14:cfRule>
          <xm:sqref>U211</xm:sqref>
        </x14:conditionalFormatting>
        <x14:conditionalFormatting xmlns:xm="http://schemas.microsoft.com/office/excel/2006/main">
          <x14:cfRule type="expression" priority="200" id="{9821B401-6F4E-41BC-9E66-6179692703F1}">
            <xm:f>$S$8='Assessment Details'!$Q$23</xm:f>
            <x14:dxf>
              <font>
                <color theme="0"/>
              </font>
              <fill>
                <patternFill>
                  <bgColor theme="0"/>
                </patternFill>
              </fill>
              <border>
                <vertical/>
                <horizontal/>
              </border>
            </x14:dxf>
          </x14:cfRule>
          <xm:sqref>W211</xm:sqref>
        </x14:conditionalFormatting>
        <x14:conditionalFormatting xmlns:xm="http://schemas.microsoft.com/office/excel/2006/main">
          <x14:cfRule type="expression" priority="199" id="{A19F9CE4-E873-4015-AF18-A26C21D39185}">
            <xm:f>$S$8='Assessment Details'!$Q$23</xm:f>
            <x14:dxf>
              <border>
                <left style="thin">
                  <color theme="0"/>
                </left>
                <right style="thin">
                  <color theme="0"/>
                </right>
                <top style="thin">
                  <color theme="0"/>
                </top>
                <bottom style="thin">
                  <color theme="0"/>
                </bottom>
                <vertical/>
                <horizontal/>
              </border>
            </x14:dxf>
          </x14:cfRule>
          <xm:sqref>W211</xm:sqref>
        </x14:conditionalFormatting>
        <x14:conditionalFormatting xmlns:xm="http://schemas.microsoft.com/office/excel/2006/main">
          <x14:cfRule type="expression" priority="220" id="{6AE94490-DB72-4C1A-BDB5-1F85B59CCE8C}">
            <xm:f>$Z$8='Assessment Details'!$Q$23</xm:f>
            <x14:dxf>
              <font>
                <color theme="0"/>
              </font>
              <fill>
                <patternFill>
                  <bgColor theme="0"/>
                </patternFill>
              </fill>
            </x14:dxf>
          </x14:cfRule>
          <xm:sqref>U211:Z211</xm:sqref>
        </x14:conditionalFormatting>
        <x14:conditionalFormatting xmlns:xm="http://schemas.microsoft.com/office/excel/2006/main">
          <x14:cfRule type="expression" priority="221" id="{242E11D8-17FB-4ADC-9E13-5E1A900AFD0A}">
            <xm:f>$Z$8='Assessment Details'!$Q$23</xm:f>
            <x14:dxf>
              <border>
                <left style="thin">
                  <color theme="0"/>
                </left>
                <right style="thin">
                  <color theme="0"/>
                </right>
                <top style="thin">
                  <color theme="0"/>
                </top>
                <bottom style="thin">
                  <color theme="0"/>
                </bottom>
                <vertical/>
                <horizontal/>
              </border>
            </x14:dxf>
          </x14:cfRule>
          <xm:sqref>U211:Z211</xm:sqref>
        </x14:conditionalFormatting>
        <x14:conditionalFormatting xmlns:xm="http://schemas.microsoft.com/office/excel/2006/main">
          <x14:cfRule type="expression" priority="183" id="{18C17D5F-FF52-4287-B3D6-A093652692AB}">
            <xm:f>$S$8='Assessment Details'!$Q$23</xm:f>
            <x14:dxf>
              <font>
                <color theme="0"/>
              </font>
              <fill>
                <patternFill>
                  <bgColor theme="0"/>
                </patternFill>
              </fill>
              <border>
                <vertical/>
                <horizontal/>
              </border>
            </x14:dxf>
          </x14:cfRule>
          <xm:sqref>N228:S228</xm:sqref>
        </x14:conditionalFormatting>
        <x14:conditionalFormatting xmlns:xm="http://schemas.microsoft.com/office/excel/2006/main">
          <x14:cfRule type="expression" priority="182" id="{5FFEFA1A-7C4A-4F4E-941D-8B78E972BCF0}">
            <xm:f>$S$8='Assessment Details'!$Q$23</xm:f>
            <x14:dxf>
              <border>
                <left style="thin">
                  <color theme="0"/>
                </left>
                <right style="thin">
                  <color theme="0"/>
                </right>
                <top style="thin">
                  <color theme="0"/>
                </top>
                <bottom style="thin">
                  <color theme="0"/>
                </bottom>
                <vertical/>
                <horizontal/>
              </border>
            </x14:dxf>
          </x14:cfRule>
          <xm:sqref>N228:S228</xm:sqref>
        </x14:conditionalFormatting>
        <x14:conditionalFormatting xmlns:xm="http://schemas.microsoft.com/office/excel/2006/main">
          <x14:cfRule type="expression" priority="181" id="{E345E5F1-5990-47E9-9094-B1CBC3834D9D}">
            <xm:f>$S$8='Assessment Details'!$Q$23</xm:f>
            <x14:dxf>
              <font>
                <color theme="0"/>
              </font>
              <fill>
                <patternFill>
                  <bgColor theme="0"/>
                </patternFill>
              </fill>
              <border>
                <vertical/>
                <horizontal/>
              </border>
            </x14:dxf>
          </x14:cfRule>
          <xm:sqref>G228</xm:sqref>
        </x14:conditionalFormatting>
        <x14:conditionalFormatting xmlns:xm="http://schemas.microsoft.com/office/excel/2006/main">
          <x14:cfRule type="expression" priority="180" id="{C0C8BA82-EC28-421A-8056-5C2BF2356772}">
            <xm:f>$S$8='Assessment Details'!$Q$23</xm:f>
            <x14:dxf>
              <border>
                <left style="thin">
                  <color theme="0"/>
                </left>
                <right style="thin">
                  <color theme="0"/>
                </right>
                <top style="thin">
                  <color theme="0"/>
                </top>
                <bottom style="thin">
                  <color theme="0"/>
                </bottom>
                <vertical/>
                <horizontal/>
              </border>
            </x14:dxf>
          </x14:cfRule>
          <xm:sqref>G228</xm:sqref>
        </x14:conditionalFormatting>
        <x14:conditionalFormatting xmlns:xm="http://schemas.microsoft.com/office/excel/2006/main">
          <x14:cfRule type="expression" priority="179" id="{F56C039B-D71B-4643-8343-CFB7E58C594E}">
            <xm:f>$S$8='Assessment Details'!$Q$23</xm:f>
            <x14:dxf>
              <font>
                <color theme="0"/>
              </font>
              <fill>
                <patternFill>
                  <bgColor theme="0"/>
                </patternFill>
              </fill>
              <border>
                <vertical/>
                <horizontal/>
              </border>
            </x14:dxf>
          </x14:cfRule>
          <xm:sqref>U228</xm:sqref>
        </x14:conditionalFormatting>
        <x14:conditionalFormatting xmlns:xm="http://schemas.microsoft.com/office/excel/2006/main">
          <x14:cfRule type="expression" priority="178" id="{C647A0D1-E5B7-4612-B088-B17331BD2DDA}">
            <xm:f>$S$8='Assessment Details'!$Q$23</xm:f>
            <x14:dxf>
              <border>
                <left style="thin">
                  <color theme="0"/>
                </left>
                <right style="thin">
                  <color theme="0"/>
                </right>
                <top style="thin">
                  <color theme="0"/>
                </top>
                <bottom style="thin">
                  <color theme="0"/>
                </bottom>
                <vertical/>
                <horizontal/>
              </border>
            </x14:dxf>
          </x14:cfRule>
          <xm:sqref>U228</xm:sqref>
        </x14:conditionalFormatting>
        <x14:conditionalFormatting xmlns:xm="http://schemas.microsoft.com/office/excel/2006/main">
          <x14:cfRule type="expression" priority="177" id="{532D191F-20C9-4562-84C9-B215C7AAC46D}">
            <xm:f>$S$8='Assessment Details'!$Q$23</xm:f>
            <x14:dxf>
              <font>
                <color theme="0"/>
              </font>
              <fill>
                <patternFill>
                  <bgColor theme="0"/>
                </patternFill>
              </fill>
              <border>
                <vertical/>
                <horizontal/>
              </border>
            </x14:dxf>
          </x14:cfRule>
          <xm:sqref>W228</xm:sqref>
        </x14:conditionalFormatting>
        <x14:conditionalFormatting xmlns:xm="http://schemas.microsoft.com/office/excel/2006/main">
          <x14:cfRule type="expression" priority="176" id="{61E96BA4-C5A4-4BD5-9314-CBA069311D17}">
            <xm:f>$S$8='Assessment Details'!$Q$23</xm:f>
            <x14:dxf>
              <border>
                <left style="thin">
                  <color theme="0"/>
                </left>
                <right style="thin">
                  <color theme="0"/>
                </right>
                <top style="thin">
                  <color theme="0"/>
                </top>
                <bottom style="thin">
                  <color theme="0"/>
                </bottom>
                <vertical/>
                <horizontal/>
              </border>
            </x14:dxf>
          </x14:cfRule>
          <xm:sqref>W228</xm:sqref>
        </x14:conditionalFormatting>
        <x14:conditionalFormatting xmlns:xm="http://schemas.microsoft.com/office/excel/2006/main">
          <x14:cfRule type="expression" priority="197" id="{88E3CCDA-6851-41A4-A36B-FA6D410CC159}">
            <xm:f>$Z$8='Assessment Details'!$Q$23</xm:f>
            <x14:dxf>
              <font>
                <color theme="0"/>
              </font>
              <fill>
                <patternFill>
                  <bgColor theme="0"/>
                </patternFill>
              </fill>
            </x14:dxf>
          </x14:cfRule>
          <xm:sqref>U228:Z228</xm:sqref>
        </x14:conditionalFormatting>
        <x14:conditionalFormatting xmlns:xm="http://schemas.microsoft.com/office/excel/2006/main">
          <x14:cfRule type="expression" priority="198" id="{ACEA0EB4-80FF-4A37-B49A-5696F3E0E508}">
            <xm:f>$Z$8='Assessment Details'!$Q$23</xm:f>
            <x14:dxf>
              <border>
                <left style="thin">
                  <color theme="0"/>
                </left>
                <right style="thin">
                  <color theme="0"/>
                </right>
                <top style="thin">
                  <color theme="0"/>
                </top>
                <bottom style="thin">
                  <color theme="0"/>
                </bottom>
                <vertical/>
                <horizontal/>
              </border>
            </x14:dxf>
          </x14:cfRule>
          <xm:sqref>U228:Z228</xm:sqref>
        </x14:conditionalFormatting>
        <x14:conditionalFormatting xmlns:xm="http://schemas.microsoft.com/office/excel/2006/main">
          <x14:cfRule type="expression" priority="160" id="{61E5B49C-C46C-4760-8775-D17375A6EA64}">
            <xm:f>$S$8='Assessment Details'!$Q$23</xm:f>
            <x14:dxf>
              <font>
                <color theme="0"/>
              </font>
              <fill>
                <patternFill>
                  <bgColor theme="0"/>
                </patternFill>
              </fill>
              <border>
                <vertical/>
                <horizontal/>
              </border>
            </x14:dxf>
          </x14:cfRule>
          <xm:sqref>N72:S72</xm:sqref>
        </x14:conditionalFormatting>
        <x14:conditionalFormatting xmlns:xm="http://schemas.microsoft.com/office/excel/2006/main">
          <x14:cfRule type="expression" priority="159" id="{810E491B-9AFD-4625-8A42-75C5974430CC}">
            <xm:f>$S$8='Assessment Details'!$Q$23</xm:f>
            <x14:dxf>
              <border>
                <left style="thin">
                  <color theme="0"/>
                </left>
                <right style="thin">
                  <color theme="0"/>
                </right>
                <top style="thin">
                  <color theme="0"/>
                </top>
                <bottom style="thin">
                  <color theme="0"/>
                </bottom>
                <vertical/>
                <horizontal/>
              </border>
            </x14:dxf>
          </x14:cfRule>
          <xm:sqref>N72:S72</xm:sqref>
        </x14:conditionalFormatting>
        <x14:conditionalFormatting xmlns:xm="http://schemas.microsoft.com/office/excel/2006/main">
          <x14:cfRule type="expression" priority="158" id="{5B0F2C05-53AF-48BB-9D2E-E6F641488715}">
            <xm:f>$S$8='Assessment Details'!$Q$23</xm:f>
            <x14:dxf>
              <font>
                <color theme="0"/>
              </font>
              <fill>
                <patternFill>
                  <bgColor theme="0"/>
                </patternFill>
              </fill>
              <border>
                <vertical/>
                <horizontal/>
              </border>
            </x14:dxf>
          </x14:cfRule>
          <xm:sqref>G72</xm:sqref>
        </x14:conditionalFormatting>
        <x14:conditionalFormatting xmlns:xm="http://schemas.microsoft.com/office/excel/2006/main">
          <x14:cfRule type="expression" priority="157" id="{C1694F0A-0CC1-4742-8E15-EEE575936C27}">
            <xm:f>$S$8='Assessment Details'!$Q$23</xm:f>
            <x14:dxf>
              <border>
                <left style="thin">
                  <color theme="0"/>
                </left>
                <right style="thin">
                  <color theme="0"/>
                </right>
                <top style="thin">
                  <color theme="0"/>
                </top>
                <bottom style="thin">
                  <color theme="0"/>
                </bottom>
                <vertical/>
                <horizontal/>
              </border>
            </x14:dxf>
          </x14:cfRule>
          <xm:sqref>G72</xm:sqref>
        </x14:conditionalFormatting>
        <x14:conditionalFormatting xmlns:xm="http://schemas.microsoft.com/office/excel/2006/main">
          <x14:cfRule type="expression" priority="156" id="{02F370AE-CBFD-4FEB-9312-E8C5A92CFC2D}">
            <xm:f>$S$8='Assessment Details'!$Q$23</xm:f>
            <x14:dxf>
              <font>
                <color theme="0"/>
              </font>
              <fill>
                <patternFill>
                  <bgColor theme="0"/>
                </patternFill>
              </fill>
              <border>
                <vertical/>
                <horizontal/>
              </border>
            </x14:dxf>
          </x14:cfRule>
          <xm:sqref>U72</xm:sqref>
        </x14:conditionalFormatting>
        <x14:conditionalFormatting xmlns:xm="http://schemas.microsoft.com/office/excel/2006/main">
          <x14:cfRule type="expression" priority="155" id="{EFC855BF-B4F0-4B7D-A024-24715073EEDB}">
            <xm:f>$S$8='Assessment Details'!$Q$23</xm:f>
            <x14:dxf>
              <border>
                <left style="thin">
                  <color theme="0"/>
                </left>
                <right style="thin">
                  <color theme="0"/>
                </right>
                <top style="thin">
                  <color theme="0"/>
                </top>
                <bottom style="thin">
                  <color theme="0"/>
                </bottom>
                <vertical/>
                <horizontal/>
              </border>
            </x14:dxf>
          </x14:cfRule>
          <xm:sqref>U72</xm:sqref>
        </x14:conditionalFormatting>
        <x14:conditionalFormatting xmlns:xm="http://schemas.microsoft.com/office/excel/2006/main">
          <x14:cfRule type="expression" priority="150" id="{D93F5BD6-5BC2-4F57-9A8A-0E7FA7B1454F}">
            <xm:f>$S$8='Assessment Details'!$Q$23</xm:f>
            <x14:dxf>
              <font>
                <color theme="0"/>
              </font>
              <fill>
                <patternFill>
                  <bgColor theme="0"/>
                </patternFill>
              </fill>
              <border>
                <vertical/>
                <horizontal/>
              </border>
            </x14:dxf>
          </x14:cfRule>
          <xm:sqref>N72</xm:sqref>
        </x14:conditionalFormatting>
        <x14:conditionalFormatting xmlns:xm="http://schemas.microsoft.com/office/excel/2006/main">
          <x14:cfRule type="expression" priority="149" id="{98AFAECC-EFCA-441C-BBD5-D37816746FD2}">
            <xm:f>$S$8='Assessment Details'!$Q$23</xm:f>
            <x14:dxf>
              <border>
                <left style="thin">
                  <color theme="0"/>
                </left>
                <right style="thin">
                  <color theme="0"/>
                </right>
                <top style="thin">
                  <color theme="0"/>
                </top>
                <bottom style="thin">
                  <color theme="0"/>
                </bottom>
                <vertical/>
                <horizontal/>
              </border>
            </x14:dxf>
          </x14:cfRule>
          <xm:sqref>N72</xm:sqref>
        </x14:conditionalFormatting>
        <x14:conditionalFormatting xmlns:xm="http://schemas.microsoft.com/office/excel/2006/main">
          <x14:cfRule type="expression" priority="144" id="{868D452A-ED94-400D-A800-C21137A74F90}">
            <xm:f>$S$8='Assessment Details'!$Q$23</xm:f>
            <x14:dxf>
              <font>
                <color theme="0"/>
              </font>
              <fill>
                <patternFill>
                  <bgColor theme="0"/>
                </patternFill>
              </fill>
              <border>
                <vertical/>
                <horizontal/>
              </border>
            </x14:dxf>
          </x14:cfRule>
          <xm:sqref>U72</xm:sqref>
        </x14:conditionalFormatting>
        <x14:conditionalFormatting xmlns:xm="http://schemas.microsoft.com/office/excel/2006/main">
          <x14:cfRule type="expression" priority="143" id="{8809E55D-95BE-49EB-AA0B-AB6AD3A6F62A}">
            <xm:f>$S$8='Assessment Details'!$Q$23</xm:f>
            <x14:dxf>
              <border>
                <left style="thin">
                  <color theme="0"/>
                </left>
                <right style="thin">
                  <color theme="0"/>
                </right>
                <top style="thin">
                  <color theme="0"/>
                </top>
                <bottom style="thin">
                  <color theme="0"/>
                </bottom>
                <vertical/>
                <horizontal/>
              </border>
            </x14:dxf>
          </x14:cfRule>
          <xm:sqref>U72</xm:sqref>
        </x14:conditionalFormatting>
        <x14:conditionalFormatting xmlns:xm="http://schemas.microsoft.com/office/excel/2006/main">
          <x14:cfRule type="expression" priority="142" id="{B5218ADE-A98F-4552-9954-EA67E83613FD}">
            <xm:f>$S$8='Assessment Details'!$Q$23</xm:f>
            <x14:dxf>
              <font>
                <color theme="0"/>
              </font>
              <fill>
                <patternFill>
                  <bgColor theme="0"/>
                </patternFill>
              </fill>
              <border>
                <vertical/>
                <horizontal/>
              </border>
            </x14:dxf>
          </x14:cfRule>
          <xm:sqref>W72</xm:sqref>
        </x14:conditionalFormatting>
        <x14:conditionalFormatting xmlns:xm="http://schemas.microsoft.com/office/excel/2006/main">
          <x14:cfRule type="expression" priority="141" id="{9FEFE862-D675-46E4-A129-73376942EEBA}">
            <xm:f>$S$8='Assessment Details'!$Q$23</xm:f>
            <x14:dxf>
              <border>
                <left style="thin">
                  <color theme="0"/>
                </left>
                <right style="thin">
                  <color theme="0"/>
                </right>
                <top style="thin">
                  <color theme="0"/>
                </top>
                <bottom style="thin">
                  <color theme="0"/>
                </bottom>
                <vertical/>
                <horizontal/>
              </border>
            </x14:dxf>
          </x14:cfRule>
          <xm:sqref>W72</xm:sqref>
        </x14:conditionalFormatting>
        <x14:conditionalFormatting xmlns:xm="http://schemas.microsoft.com/office/excel/2006/main">
          <x14:cfRule type="expression" priority="174" id="{68BA5C6D-93A4-482B-B2DC-A71E804CCA45}">
            <xm:f>$Z$8='Assessment Details'!$Q$23</xm:f>
            <x14:dxf>
              <font>
                <color theme="0"/>
              </font>
              <fill>
                <patternFill>
                  <bgColor theme="0"/>
                </patternFill>
              </fill>
            </x14:dxf>
          </x14:cfRule>
          <xm:sqref>U72:Z72</xm:sqref>
        </x14:conditionalFormatting>
        <x14:conditionalFormatting xmlns:xm="http://schemas.microsoft.com/office/excel/2006/main">
          <x14:cfRule type="expression" priority="175" id="{691F0192-A9D9-45B0-9594-40F8E75AB3A5}">
            <xm:f>$Z$8='Assessment Details'!$Q$23</xm:f>
            <x14:dxf>
              <border>
                <left style="thin">
                  <color theme="0"/>
                </left>
                <right style="thin">
                  <color theme="0"/>
                </right>
                <top style="thin">
                  <color theme="0"/>
                </top>
                <bottom style="thin">
                  <color theme="0"/>
                </bottom>
                <vertical/>
                <horizontal/>
              </border>
            </x14:dxf>
          </x14:cfRule>
          <xm:sqref>U72:Z72</xm:sqref>
        </x14:conditionalFormatting>
        <x14:conditionalFormatting xmlns:xm="http://schemas.microsoft.com/office/excel/2006/main">
          <x14:cfRule type="expression" priority="131" id="{A2F61281-5B85-42E8-85ED-C883449C3341}">
            <xm:f>$S$8='Assessment Details'!$Q$23</xm:f>
            <x14:dxf>
              <font>
                <color theme="0"/>
              </font>
              <fill>
                <patternFill>
                  <bgColor theme="0"/>
                </patternFill>
              </fill>
              <border>
                <vertical/>
                <horizontal/>
              </border>
            </x14:dxf>
          </x14:cfRule>
          <xm:sqref>AB41</xm:sqref>
        </x14:conditionalFormatting>
        <x14:conditionalFormatting xmlns:xm="http://schemas.microsoft.com/office/excel/2006/main">
          <x14:cfRule type="expression" priority="130" id="{12B22900-DA56-4FFF-A64C-67EEE6F95F35}">
            <xm:f>$S$8='Assessment Details'!$Q$23</xm:f>
            <x14:dxf>
              <border>
                <left style="thin">
                  <color theme="0"/>
                </left>
                <right style="thin">
                  <color theme="0"/>
                </right>
                <top style="thin">
                  <color theme="0"/>
                </top>
                <bottom style="thin">
                  <color theme="0"/>
                </bottom>
                <vertical/>
                <horizontal/>
              </border>
            </x14:dxf>
          </x14:cfRule>
          <xm:sqref>AB41</xm:sqref>
        </x14:conditionalFormatting>
        <x14:conditionalFormatting xmlns:xm="http://schemas.microsoft.com/office/excel/2006/main">
          <x14:cfRule type="expression" priority="129" id="{CE1CBBD9-B568-4E28-9031-CA6598413DFA}">
            <xm:f>'Pre-Assessment Estimator'!$AJ$4=ais_nei</xm:f>
            <x14:dxf>
              <font>
                <color theme="0"/>
              </font>
              <fill>
                <patternFill>
                  <bgColor theme="0"/>
                </patternFill>
              </fill>
              <border>
                <left/>
                <right/>
                <top/>
                <bottom/>
                <vertical/>
                <horizontal/>
              </border>
            </x14:dxf>
          </x14:cfRule>
          <xm:sqref>AB41</xm:sqref>
        </x14:conditionalFormatting>
        <x14:conditionalFormatting xmlns:xm="http://schemas.microsoft.com/office/excel/2006/main">
          <x14:cfRule type="expression" priority="133" id="{2CE3F685-768F-48E9-BCE1-5113391D8698}">
            <xm:f>$Z$8='Assessment Details'!$Q$23</xm:f>
            <x14:dxf>
              <font>
                <color theme="0"/>
              </font>
              <fill>
                <patternFill>
                  <bgColor theme="0"/>
                </patternFill>
              </fill>
            </x14:dxf>
          </x14:cfRule>
          <xm:sqref>AA41</xm:sqref>
        </x14:conditionalFormatting>
        <x14:conditionalFormatting xmlns:xm="http://schemas.microsoft.com/office/excel/2006/main">
          <x14:cfRule type="expression" priority="134" id="{C73A93A1-430B-4852-895E-2ABF25A4C2F2}">
            <xm:f>$Z$8='Assessment Details'!$Q$23</xm:f>
            <x14:dxf>
              <border>
                <left style="thin">
                  <color theme="0"/>
                </left>
                <right style="thin">
                  <color theme="0"/>
                </right>
                <top style="thin">
                  <color theme="0"/>
                </top>
                <bottom style="thin">
                  <color theme="0"/>
                </bottom>
                <vertical/>
                <horizontal/>
              </border>
            </x14:dxf>
          </x14:cfRule>
          <xm:sqref>AA41</xm:sqref>
        </x14:conditionalFormatting>
        <x14:conditionalFormatting xmlns:xm="http://schemas.microsoft.com/office/excel/2006/main">
          <x14:cfRule type="expression" priority="113" id="{8C3949D9-EB23-440A-BD64-E991ECCD39A7}">
            <xm:f>$S$8='Assessment Details'!$Q$23</xm:f>
            <x14:dxf>
              <font>
                <color theme="0"/>
              </font>
              <fill>
                <patternFill>
                  <bgColor theme="0"/>
                </patternFill>
              </fill>
              <border>
                <vertical/>
                <horizontal/>
              </border>
            </x14:dxf>
          </x14:cfRule>
          <xm:sqref>N41:S41</xm:sqref>
        </x14:conditionalFormatting>
        <x14:conditionalFormatting xmlns:xm="http://schemas.microsoft.com/office/excel/2006/main">
          <x14:cfRule type="expression" priority="112" id="{419C5763-FB56-4025-93E6-A4D10B052749}">
            <xm:f>$S$8='Assessment Details'!$Q$23</xm:f>
            <x14:dxf>
              <border>
                <left style="thin">
                  <color theme="0"/>
                </left>
                <right style="thin">
                  <color theme="0"/>
                </right>
                <top style="thin">
                  <color theme="0"/>
                </top>
                <bottom style="thin">
                  <color theme="0"/>
                </bottom>
                <vertical/>
                <horizontal/>
              </border>
            </x14:dxf>
          </x14:cfRule>
          <xm:sqref>N41:S41</xm:sqref>
        </x14:conditionalFormatting>
        <x14:conditionalFormatting xmlns:xm="http://schemas.microsoft.com/office/excel/2006/main">
          <x14:cfRule type="expression" priority="111" id="{54818CE5-9AE7-42E4-84CF-C5EBE921D49C}">
            <xm:f>$S$8='Assessment Details'!$Q$23</xm:f>
            <x14:dxf>
              <font>
                <color theme="0"/>
              </font>
              <fill>
                <patternFill>
                  <bgColor theme="0"/>
                </patternFill>
              </fill>
              <border>
                <vertical/>
                <horizontal/>
              </border>
            </x14:dxf>
          </x14:cfRule>
          <xm:sqref>G41</xm:sqref>
        </x14:conditionalFormatting>
        <x14:conditionalFormatting xmlns:xm="http://schemas.microsoft.com/office/excel/2006/main">
          <x14:cfRule type="expression" priority="110" id="{AE843E95-EC7F-48D1-A962-E7BD7FF814A7}">
            <xm:f>$S$8='Assessment Details'!$Q$23</xm:f>
            <x14:dxf>
              <border>
                <left style="thin">
                  <color theme="0"/>
                </left>
                <right style="thin">
                  <color theme="0"/>
                </right>
                <top style="thin">
                  <color theme="0"/>
                </top>
                <bottom style="thin">
                  <color theme="0"/>
                </bottom>
                <vertical/>
                <horizontal/>
              </border>
            </x14:dxf>
          </x14:cfRule>
          <xm:sqref>G41</xm:sqref>
        </x14:conditionalFormatting>
        <x14:conditionalFormatting xmlns:xm="http://schemas.microsoft.com/office/excel/2006/main">
          <x14:cfRule type="expression" priority="109" id="{8CB11A7C-3ABF-477E-A02E-F4AC3284107D}">
            <xm:f>$S$8='Assessment Details'!$Q$23</xm:f>
            <x14:dxf>
              <font>
                <color theme="0"/>
              </font>
              <fill>
                <patternFill>
                  <bgColor theme="0"/>
                </patternFill>
              </fill>
              <border>
                <vertical/>
                <horizontal/>
              </border>
            </x14:dxf>
          </x14:cfRule>
          <xm:sqref>U41</xm:sqref>
        </x14:conditionalFormatting>
        <x14:conditionalFormatting xmlns:xm="http://schemas.microsoft.com/office/excel/2006/main">
          <x14:cfRule type="expression" priority="108" id="{C9FA926E-FFF2-4933-98AB-E4B10933A14D}">
            <xm:f>$S$8='Assessment Details'!$Q$23</xm:f>
            <x14:dxf>
              <border>
                <left style="thin">
                  <color theme="0"/>
                </left>
                <right style="thin">
                  <color theme="0"/>
                </right>
                <top style="thin">
                  <color theme="0"/>
                </top>
                <bottom style="thin">
                  <color theme="0"/>
                </bottom>
                <vertical/>
                <horizontal/>
              </border>
            </x14:dxf>
          </x14:cfRule>
          <xm:sqref>U41</xm:sqref>
        </x14:conditionalFormatting>
        <x14:conditionalFormatting xmlns:xm="http://schemas.microsoft.com/office/excel/2006/main">
          <x14:cfRule type="expression" priority="103" id="{B4E0B131-4A0F-467D-84FC-AFE2986E1AD7}">
            <xm:f>$S$8='Assessment Details'!$Q$23</xm:f>
            <x14:dxf>
              <font>
                <color theme="0"/>
              </font>
              <fill>
                <patternFill>
                  <bgColor theme="0"/>
                </patternFill>
              </fill>
              <border>
                <vertical/>
                <horizontal/>
              </border>
            </x14:dxf>
          </x14:cfRule>
          <xm:sqref>N41</xm:sqref>
        </x14:conditionalFormatting>
        <x14:conditionalFormatting xmlns:xm="http://schemas.microsoft.com/office/excel/2006/main">
          <x14:cfRule type="expression" priority="102" id="{D2A937F4-6AD8-4A61-BA35-A3C401979D0C}">
            <xm:f>$S$8='Assessment Details'!$Q$23</xm:f>
            <x14:dxf>
              <border>
                <left style="thin">
                  <color theme="0"/>
                </left>
                <right style="thin">
                  <color theme="0"/>
                </right>
                <top style="thin">
                  <color theme="0"/>
                </top>
                <bottom style="thin">
                  <color theme="0"/>
                </bottom>
                <vertical/>
                <horizontal/>
              </border>
            </x14:dxf>
          </x14:cfRule>
          <xm:sqref>N41</xm:sqref>
        </x14:conditionalFormatting>
        <x14:conditionalFormatting xmlns:xm="http://schemas.microsoft.com/office/excel/2006/main">
          <x14:cfRule type="expression" priority="97" id="{EAD5FDD4-AB6C-47B5-B37A-19F24BF3D229}">
            <xm:f>$S$8='Assessment Details'!$Q$23</xm:f>
            <x14:dxf>
              <font>
                <color theme="0"/>
              </font>
              <fill>
                <patternFill>
                  <bgColor theme="0"/>
                </patternFill>
              </fill>
              <border>
                <vertical/>
                <horizontal/>
              </border>
            </x14:dxf>
          </x14:cfRule>
          <xm:sqref>U41</xm:sqref>
        </x14:conditionalFormatting>
        <x14:conditionalFormatting xmlns:xm="http://schemas.microsoft.com/office/excel/2006/main">
          <x14:cfRule type="expression" priority="96" id="{1B1C70F0-1B2A-47E8-B0B9-500FC7BDA48B}">
            <xm:f>$S$8='Assessment Details'!$Q$23</xm:f>
            <x14:dxf>
              <border>
                <left style="thin">
                  <color theme="0"/>
                </left>
                <right style="thin">
                  <color theme="0"/>
                </right>
                <top style="thin">
                  <color theme="0"/>
                </top>
                <bottom style="thin">
                  <color theme="0"/>
                </bottom>
                <vertical/>
                <horizontal/>
              </border>
            </x14:dxf>
          </x14:cfRule>
          <xm:sqref>U41</xm:sqref>
        </x14:conditionalFormatting>
        <x14:conditionalFormatting xmlns:xm="http://schemas.microsoft.com/office/excel/2006/main">
          <x14:cfRule type="expression" priority="95" id="{AAEA2C86-2AF2-4AFF-B26D-4E71C44468DB}">
            <xm:f>$S$8='Assessment Details'!$Q$23</xm:f>
            <x14:dxf>
              <font>
                <color theme="0"/>
              </font>
              <fill>
                <patternFill>
                  <bgColor theme="0"/>
                </patternFill>
              </fill>
              <border>
                <vertical/>
                <horizontal/>
              </border>
            </x14:dxf>
          </x14:cfRule>
          <xm:sqref>W41</xm:sqref>
        </x14:conditionalFormatting>
        <x14:conditionalFormatting xmlns:xm="http://schemas.microsoft.com/office/excel/2006/main">
          <x14:cfRule type="expression" priority="94" id="{F8A63127-C0F7-442D-948A-6A52989DF2C2}">
            <xm:f>$S$8='Assessment Details'!$Q$23</xm:f>
            <x14:dxf>
              <border>
                <left style="thin">
                  <color theme="0"/>
                </left>
                <right style="thin">
                  <color theme="0"/>
                </right>
                <top style="thin">
                  <color theme="0"/>
                </top>
                <bottom style="thin">
                  <color theme="0"/>
                </bottom>
                <vertical/>
                <horizontal/>
              </border>
            </x14:dxf>
          </x14:cfRule>
          <xm:sqref>W41</xm:sqref>
        </x14:conditionalFormatting>
        <x14:conditionalFormatting xmlns:xm="http://schemas.microsoft.com/office/excel/2006/main">
          <x14:cfRule type="expression" priority="127" id="{00CF1547-2DD6-479C-8D3D-CD630F796C9A}">
            <xm:f>$Z$8='Assessment Details'!$Q$23</xm:f>
            <x14:dxf>
              <font>
                <color theme="0"/>
              </font>
              <fill>
                <patternFill>
                  <bgColor theme="0"/>
                </patternFill>
              </fill>
            </x14:dxf>
          </x14:cfRule>
          <xm:sqref>U41:Z41</xm:sqref>
        </x14:conditionalFormatting>
        <x14:conditionalFormatting xmlns:xm="http://schemas.microsoft.com/office/excel/2006/main">
          <x14:cfRule type="expression" priority="128" id="{F4C47752-AA0B-49C8-8769-54F6FB5C8C05}">
            <xm:f>$Z$8='Assessment Details'!$Q$23</xm:f>
            <x14:dxf>
              <border>
                <left style="thin">
                  <color theme="0"/>
                </left>
                <right style="thin">
                  <color theme="0"/>
                </right>
                <top style="thin">
                  <color theme="0"/>
                </top>
                <bottom style="thin">
                  <color theme="0"/>
                </bottom>
                <vertical/>
                <horizontal/>
              </border>
            </x14:dxf>
          </x14:cfRule>
          <xm:sqref>U41:Z41</xm:sqref>
        </x14:conditionalFormatting>
        <x14:conditionalFormatting xmlns:xm="http://schemas.microsoft.com/office/excel/2006/main">
          <x14:cfRule type="expression" priority="66" id="{0A4A4FFA-B6E7-4655-B23C-D4BC795B58AE}">
            <xm:f>$S$8='Assessment Details'!$Q$23</xm:f>
            <x14:dxf>
              <font>
                <color theme="0"/>
              </font>
              <fill>
                <patternFill>
                  <bgColor theme="0"/>
                </patternFill>
              </fill>
              <border>
                <vertical/>
                <horizontal/>
              </border>
            </x14:dxf>
          </x14:cfRule>
          <xm:sqref>AB174</xm:sqref>
        </x14:conditionalFormatting>
        <x14:conditionalFormatting xmlns:xm="http://schemas.microsoft.com/office/excel/2006/main">
          <x14:cfRule type="expression" priority="65" id="{FAF30279-D158-43F7-8037-D07C714ABA67}">
            <xm:f>$S$8='Assessment Details'!$Q$23</xm:f>
            <x14:dxf>
              <border>
                <left style="thin">
                  <color theme="0"/>
                </left>
                <right style="thin">
                  <color theme="0"/>
                </right>
                <top style="thin">
                  <color theme="0"/>
                </top>
                <bottom style="thin">
                  <color theme="0"/>
                </bottom>
                <vertical/>
                <horizontal/>
              </border>
            </x14:dxf>
          </x14:cfRule>
          <xm:sqref>AB174</xm:sqref>
        </x14:conditionalFormatting>
        <x14:conditionalFormatting xmlns:xm="http://schemas.microsoft.com/office/excel/2006/main">
          <x14:cfRule type="expression" priority="64" id="{A2748B9E-4FE0-487B-B23D-B01C0BEC469F}">
            <xm:f>'Pre-Assessment Estimator'!$AJ$4=ais_nei</xm:f>
            <x14:dxf>
              <font>
                <color theme="0"/>
              </font>
              <fill>
                <patternFill>
                  <bgColor theme="0"/>
                </patternFill>
              </fill>
              <border>
                <left/>
                <right/>
                <top/>
                <bottom/>
                <vertical/>
                <horizontal/>
              </border>
            </x14:dxf>
          </x14:cfRule>
          <xm:sqref>AB174</xm:sqref>
        </x14:conditionalFormatting>
        <x14:conditionalFormatting xmlns:xm="http://schemas.microsoft.com/office/excel/2006/main">
          <x14:cfRule type="expression" priority="68" id="{29C7582A-8C87-428C-A681-BD0D44554119}">
            <xm:f>$Z$8='Assessment Details'!$Q$23</xm:f>
            <x14:dxf>
              <font>
                <color theme="0"/>
              </font>
              <fill>
                <patternFill>
                  <bgColor theme="0"/>
                </patternFill>
              </fill>
            </x14:dxf>
          </x14:cfRule>
          <xm:sqref>AA174</xm:sqref>
        </x14:conditionalFormatting>
        <x14:conditionalFormatting xmlns:xm="http://schemas.microsoft.com/office/excel/2006/main">
          <x14:cfRule type="expression" priority="69" id="{CB0A1344-197D-4BF1-B5B0-A328FFC197FF}">
            <xm:f>$Z$8='Assessment Details'!$Q$23</xm:f>
            <x14:dxf>
              <border>
                <left style="thin">
                  <color theme="0"/>
                </left>
                <right style="thin">
                  <color theme="0"/>
                </right>
                <top style="thin">
                  <color theme="0"/>
                </top>
                <bottom style="thin">
                  <color theme="0"/>
                </bottom>
                <vertical/>
                <horizontal/>
              </border>
            </x14:dxf>
          </x14:cfRule>
          <xm:sqref>AA174</xm:sqref>
        </x14:conditionalFormatting>
        <x14:conditionalFormatting xmlns:xm="http://schemas.microsoft.com/office/excel/2006/main">
          <x14:cfRule type="expression" priority="60" id="{6644C233-EBF9-465D-977E-78690F6AA5F9}">
            <xm:f>$S$8='Assessment Details'!$Q$23</xm:f>
            <x14:dxf>
              <font>
                <color theme="0"/>
              </font>
              <fill>
                <patternFill>
                  <bgColor theme="0"/>
                </patternFill>
              </fill>
              <border>
                <vertical/>
                <horizontal/>
              </border>
            </x14:dxf>
          </x14:cfRule>
          <xm:sqref>N174:S174</xm:sqref>
        </x14:conditionalFormatting>
        <x14:conditionalFormatting xmlns:xm="http://schemas.microsoft.com/office/excel/2006/main">
          <x14:cfRule type="expression" priority="59" id="{CBBBCB6E-020B-4A1E-AECA-0E5E004EA2C6}">
            <xm:f>$S$8='Assessment Details'!$Q$23</xm:f>
            <x14:dxf>
              <border>
                <left style="thin">
                  <color theme="0"/>
                </left>
                <right style="thin">
                  <color theme="0"/>
                </right>
                <top style="thin">
                  <color theme="0"/>
                </top>
                <bottom style="thin">
                  <color theme="0"/>
                </bottom>
                <vertical/>
                <horizontal/>
              </border>
            </x14:dxf>
          </x14:cfRule>
          <xm:sqref>N174:S174</xm:sqref>
        </x14:conditionalFormatting>
        <x14:conditionalFormatting xmlns:xm="http://schemas.microsoft.com/office/excel/2006/main">
          <x14:cfRule type="expression" priority="58" id="{55253052-C297-4F8C-A3EC-9B943F5F6B38}">
            <xm:f>$S$8='Assessment Details'!$Q$23</xm:f>
            <x14:dxf>
              <font>
                <color theme="0"/>
              </font>
              <fill>
                <patternFill>
                  <bgColor theme="0"/>
                </patternFill>
              </fill>
              <border>
                <vertical/>
                <horizontal/>
              </border>
            </x14:dxf>
          </x14:cfRule>
          <xm:sqref>G174</xm:sqref>
        </x14:conditionalFormatting>
        <x14:conditionalFormatting xmlns:xm="http://schemas.microsoft.com/office/excel/2006/main">
          <x14:cfRule type="expression" priority="57" id="{BD96B0C5-25AF-424F-A1BA-4CE9F3FCCC31}">
            <xm:f>$S$8='Assessment Details'!$Q$23</xm:f>
            <x14:dxf>
              <border>
                <left style="thin">
                  <color theme="0"/>
                </left>
                <right style="thin">
                  <color theme="0"/>
                </right>
                <top style="thin">
                  <color theme="0"/>
                </top>
                <bottom style="thin">
                  <color theme="0"/>
                </bottom>
                <vertical/>
                <horizontal/>
              </border>
            </x14:dxf>
          </x14:cfRule>
          <xm:sqref>G174</xm:sqref>
        </x14:conditionalFormatting>
        <x14:conditionalFormatting xmlns:xm="http://schemas.microsoft.com/office/excel/2006/main">
          <x14:cfRule type="expression" priority="56" id="{3A1F9D1B-111B-46CB-8476-D2B766D38747}">
            <xm:f>$S$8='Assessment Details'!$Q$23</xm:f>
            <x14:dxf>
              <font>
                <color theme="0"/>
              </font>
              <fill>
                <patternFill>
                  <bgColor theme="0"/>
                </patternFill>
              </fill>
              <border>
                <vertical/>
                <horizontal/>
              </border>
            </x14:dxf>
          </x14:cfRule>
          <xm:sqref>U174</xm:sqref>
        </x14:conditionalFormatting>
        <x14:conditionalFormatting xmlns:xm="http://schemas.microsoft.com/office/excel/2006/main">
          <x14:cfRule type="expression" priority="55" id="{4505367E-FF2A-4689-A386-E39DC01A6A2E}">
            <xm:f>$S$8='Assessment Details'!$Q$23</xm:f>
            <x14:dxf>
              <border>
                <left style="thin">
                  <color theme="0"/>
                </left>
                <right style="thin">
                  <color theme="0"/>
                </right>
                <top style="thin">
                  <color theme="0"/>
                </top>
                <bottom style="thin">
                  <color theme="0"/>
                </bottom>
                <vertical/>
                <horizontal/>
              </border>
            </x14:dxf>
          </x14:cfRule>
          <xm:sqref>U174</xm:sqref>
        </x14:conditionalFormatting>
        <x14:conditionalFormatting xmlns:xm="http://schemas.microsoft.com/office/excel/2006/main">
          <x14:cfRule type="expression" priority="54" id="{5E6EE673-8DF7-44AB-91D5-694F4E5BF908}">
            <xm:f>$S$8='Assessment Details'!$Q$23</xm:f>
            <x14:dxf>
              <font>
                <color theme="0"/>
              </font>
              <fill>
                <patternFill>
                  <bgColor theme="0"/>
                </patternFill>
              </fill>
              <border>
                <vertical/>
                <horizontal/>
              </border>
            </x14:dxf>
          </x14:cfRule>
          <xm:sqref>N174</xm:sqref>
        </x14:conditionalFormatting>
        <x14:conditionalFormatting xmlns:xm="http://schemas.microsoft.com/office/excel/2006/main">
          <x14:cfRule type="expression" priority="53" id="{8A169D88-CC9C-4464-ADEA-16DC9C366B8E}">
            <xm:f>$S$8='Assessment Details'!$Q$23</xm:f>
            <x14:dxf>
              <border>
                <left style="thin">
                  <color theme="0"/>
                </left>
                <right style="thin">
                  <color theme="0"/>
                </right>
                <top style="thin">
                  <color theme="0"/>
                </top>
                <bottom style="thin">
                  <color theme="0"/>
                </bottom>
                <vertical/>
                <horizontal/>
              </border>
            </x14:dxf>
          </x14:cfRule>
          <xm:sqref>N174</xm:sqref>
        </x14:conditionalFormatting>
        <x14:conditionalFormatting xmlns:xm="http://schemas.microsoft.com/office/excel/2006/main">
          <x14:cfRule type="expression" priority="52" id="{E3AD6EBD-57C0-491E-ABCC-FAAE19F3C737}">
            <xm:f>$S$8='Assessment Details'!$Q$23</xm:f>
            <x14:dxf>
              <font>
                <color theme="0"/>
              </font>
              <fill>
                <patternFill>
                  <bgColor theme="0"/>
                </patternFill>
              </fill>
              <border>
                <vertical/>
                <horizontal/>
              </border>
            </x14:dxf>
          </x14:cfRule>
          <xm:sqref>U174</xm:sqref>
        </x14:conditionalFormatting>
        <x14:conditionalFormatting xmlns:xm="http://schemas.microsoft.com/office/excel/2006/main">
          <x14:cfRule type="expression" priority="51" id="{B93FB5AD-8BD2-4291-BA51-0FD5CF79E3A6}">
            <xm:f>$S$8='Assessment Details'!$Q$23</xm:f>
            <x14:dxf>
              <border>
                <left style="thin">
                  <color theme="0"/>
                </left>
                <right style="thin">
                  <color theme="0"/>
                </right>
                <top style="thin">
                  <color theme="0"/>
                </top>
                <bottom style="thin">
                  <color theme="0"/>
                </bottom>
                <vertical/>
                <horizontal/>
              </border>
            </x14:dxf>
          </x14:cfRule>
          <xm:sqref>U174</xm:sqref>
        </x14:conditionalFormatting>
        <x14:conditionalFormatting xmlns:xm="http://schemas.microsoft.com/office/excel/2006/main">
          <x14:cfRule type="expression" priority="50" id="{414AA169-FC08-41A6-8F04-5D093969C332}">
            <xm:f>$S$8='Assessment Details'!$Q$23</xm:f>
            <x14:dxf>
              <font>
                <color theme="0"/>
              </font>
              <fill>
                <patternFill>
                  <bgColor theme="0"/>
                </patternFill>
              </fill>
              <border>
                <vertical/>
                <horizontal/>
              </border>
            </x14:dxf>
          </x14:cfRule>
          <xm:sqref>W174</xm:sqref>
        </x14:conditionalFormatting>
        <x14:conditionalFormatting xmlns:xm="http://schemas.microsoft.com/office/excel/2006/main">
          <x14:cfRule type="expression" priority="49" id="{0D6D41C6-C6D2-4F78-BF78-943B95B5B892}">
            <xm:f>$S$8='Assessment Details'!$Q$23</xm:f>
            <x14:dxf>
              <border>
                <left style="thin">
                  <color theme="0"/>
                </left>
                <right style="thin">
                  <color theme="0"/>
                </right>
                <top style="thin">
                  <color theme="0"/>
                </top>
                <bottom style="thin">
                  <color theme="0"/>
                </bottom>
                <vertical/>
                <horizontal/>
              </border>
            </x14:dxf>
          </x14:cfRule>
          <xm:sqref>W174</xm:sqref>
        </x14:conditionalFormatting>
        <x14:conditionalFormatting xmlns:xm="http://schemas.microsoft.com/office/excel/2006/main">
          <x14:cfRule type="expression" priority="62" id="{B14ACEF7-A871-4650-94A7-2E9FBD4C38BD}">
            <xm:f>$Z$8='Assessment Details'!$Q$23</xm:f>
            <x14:dxf>
              <font>
                <color theme="0"/>
              </font>
              <fill>
                <patternFill>
                  <bgColor theme="0"/>
                </patternFill>
              </fill>
            </x14:dxf>
          </x14:cfRule>
          <xm:sqref>U174:Z174</xm:sqref>
        </x14:conditionalFormatting>
        <x14:conditionalFormatting xmlns:xm="http://schemas.microsoft.com/office/excel/2006/main">
          <x14:cfRule type="expression" priority="63" id="{8A8C983C-F00C-4BE0-A652-7F04FDF50CD5}">
            <xm:f>$Z$8='Assessment Details'!$Q$23</xm:f>
            <x14:dxf>
              <border>
                <left style="thin">
                  <color theme="0"/>
                </left>
                <right style="thin">
                  <color theme="0"/>
                </right>
                <top style="thin">
                  <color theme="0"/>
                </top>
                <bottom style="thin">
                  <color theme="0"/>
                </bottom>
                <vertical/>
                <horizontal/>
              </border>
            </x14:dxf>
          </x14:cfRule>
          <xm:sqref>U174:Z174</xm:sqref>
        </x14:conditionalFormatting>
        <x14:conditionalFormatting xmlns:xm="http://schemas.microsoft.com/office/excel/2006/main">
          <x14:cfRule type="expression" priority="24" id="{2139111A-9DEF-4B58-A0A3-F43AA2DAFEB2}">
            <xm:f>$S$8='Assessment Details'!$Q$23</xm:f>
            <x14:dxf>
              <font>
                <color theme="0"/>
              </font>
              <fill>
                <patternFill>
                  <bgColor theme="0"/>
                </patternFill>
              </fill>
              <border>
                <vertical/>
                <horizontal/>
              </border>
            </x14:dxf>
          </x14:cfRule>
          <xm:sqref>AB73</xm:sqref>
        </x14:conditionalFormatting>
        <x14:conditionalFormatting xmlns:xm="http://schemas.microsoft.com/office/excel/2006/main">
          <x14:cfRule type="expression" priority="23" id="{ADFD896C-BEBF-4ADF-8F85-F3CC1D3BA845}">
            <xm:f>$S$8='Assessment Details'!$Q$23</xm:f>
            <x14:dxf>
              <border>
                <left style="thin">
                  <color theme="0"/>
                </left>
                <right style="thin">
                  <color theme="0"/>
                </right>
                <top style="thin">
                  <color theme="0"/>
                </top>
                <bottom style="thin">
                  <color theme="0"/>
                </bottom>
                <vertical/>
                <horizontal/>
              </border>
            </x14:dxf>
          </x14:cfRule>
          <xm:sqref>AB73</xm:sqref>
        </x14:conditionalFormatting>
        <x14:conditionalFormatting xmlns:xm="http://schemas.microsoft.com/office/excel/2006/main">
          <x14:cfRule type="expression" priority="22" id="{87BB4C44-17CE-4CDB-B5E1-5D9759A41740}">
            <xm:f>'Pre-Assessment Estimator'!$AJ$4=ais_nei</xm:f>
            <x14:dxf>
              <font>
                <color theme="0"/>
              </font>
              <fill>
                <patternFill>
                  <bgColor theme="0"/>
                </patternFill>
              </fill>
              <border>
                <left/>
                <right/>
                <top/>
                <bottom/>
                <vertical/>
                <horizontal/>
              </border>
            </x14:dxf>
          </x14:cfRule>
          <xm:sqref>AB73</xm:sqref>
        </x14:conditionalFormatting>
        <x14:conditionalFormatting xmlns:xm="http://schemas.microsoft.com/office/excel/2006/main">
          <x14:cfRule type="expression" priority="26" id="{D6959665-51A3-4E0D-9F39-FAD6801B34D7}">
            <xm:f>$Z$8='Assessment Details'!$Q$23</xm:f>
            <x14:dxf>
              <font>
                <color theme="0"/>
              </font>
              <fill>
                <patternFill>
                  <bgColor theme="0"/>
                </patternFill>
              </fill>
            </x14:dxf>
          </x14:cfRule>
          <xm:sqref>AA73</xm:sqref>
        </x14:conditionalFormatting>
        <x14:conditionalFormatting xmlns:xm="http://schemas.microsoft.com/office/excel/2006/main">
          <x14:cfRule type="expression" priority="27" id="{C18B3C84-0443-44E5-B087-E60A1DD360A2}">
            <xm:f>$Z$8='Assessment Details'!$Q$23</xm:f>
            <x14:dxf>
              <border>
                <left style="thin">
                  <color theme="0"/>
                </left>
                <right style="thin">
                  <color theme="0"/>
                </right>
                <top style="thin">
                  <color theme="0"/>
                </top>
                <bottom style="thin">
                  <color theme="0"/>
                </bottom>
                <vertical/>
                <horizontal/>
              </border>
            </x14:dxf>
          </x14:cfRule>
          <xm:sqref>AA73</xm:sqref>
        </x14:conditionalFormatting>
        <x14:conditionalFormatting xmlns:xm="http://schemas.microsoft.com/office/excel/2006/main">
          <x14:cfRule type="expression" priority="18" id="{BEBCE176-5A0A-4586-84FF-3C9FAB52624C}">
            <xm:f>$S$8='Assessment Details'!$Q$23</xm:f>
            <x14:dxf>
              <font>
                <color theme="0"/>
              </font>
              <fill>
                <patternFill>
                  <bgColor theme="0"/>
                </patternFill>
              </fill>
              <border>
                <vertical/>
                <horizontal/>
              </border>
            </x14:dxf>
          </x14:cfRule>
          <xm:sqref>N73:S73</xm:sqref>
        </x14:conditionalFormatting>
        <x14:conditionalFormatting xmlns:xm="http://schemas.microsoft.com/office/excel/2006/main">
          <x14:cfRule type="expression" priority="17" id="{33B5A00E-25A5-430A-B56D-24BB1C1FC6DA}">
            <xm:f>$S$8='Assessment Details'!$Q$23</xm:f>
            <x14:dxf>
              <border>
                <left style="thin">
                  <color theme="0"/>
                </left>
                <right style="thin">
                  <color theme="0"/>
                </right>
                <top style="thin">
                  <color theme="0"/>
                </top>
                <bottom style="thin">
                  <color theme="0"/>
                </bottom>
                <vertical/>
                <horizontal/>
              </border>
            </x14:dxf>
          </x14:cfRule>
          <xm:sqref>N73:S73</xm:sqref>
        </x14:conditionalFormatting>
        <x14:conditionalFormatting xmlns:xm="http://schemas.microsoft.com/office/excel/2006/main">
          <x14:cfRule type="expression" priority="16" id="{31D995F2-85F0-4990-AD6A-2BF9E3B00594}">
            <xm:f>$S$8='Assessment Details'!$Q$23</xm:f>
            <x14:dxf>
              <font>
                <color theme="0"/>
              </font>
              <fill>
                <patternFill>
                  <bgColor theme="0"/>
                </patternFill>
              </fill>
              <border>
                <vertical/>
                <horizontal/>
              </border>
            </x14:dxf>
          </x14:cfRule>
          <xm:sqref>G73</xm:sqref>
        </x14:conditionalFormatting>
        <x14:conditionalFormatting xmlns:xm="http://schemas.microsoft.com/office/excel/2006/main">
          <x14:cfRule type="expression" priority="15" id="{9F44B314-C345-4559-AB6B-53515CEA6AE1}">
            <xm:f>$S$8='Assessment Details'!$Q$23</xm:f>
            <x14:dxf>
              <border>
                <left style="thin">
                  <color theme="0"/>
                </left>
                <right style="thin">
                  <color theme="0"/>
                </right>
                <top style="thin">
                  <color theme="0"/>
                </top>
                <bottom style="thin">
                  <color theme="0"/>
                </bottom>
                <vertical/>
                <horizontal/>
              </border>
            </x14:dxf>
          </x14:cfRule>
          <xm:sqref>G73</xm:sqref>
        </x14:conditionalFormatting>
        <x14:conditionalFormatting xmlns:xm="http://schemas.microsoft.com/office/excel/2006/main">
          <x14:cfRule type="expression" priority="14" id="{E5685B66-4F99-4B21-838D-59D9E636B567}">
            <xm:f>$S$8='Assessment Details'!$Q$23</xm:f>
            <x14:dxf>
              <font>
                <color theme="0"/>
              </font>
              <fill>
                <patternFill>
                  <bgColor theme="0"/>
                </patternFill>
              </fill>
              <border>
                <vertical/>
                <horizontal/>
              </border>
            </x14:dxf>
          </x14:cfRule>
          <xm:sqref>U73</xm:sqref>
        </x14:conditionalFormatting>
        <x14:conditionalFormatting xmlns:xm="http://schemas.microsoft.com/office/excel/2006/main">
          <x14:cfRule type="expression" priority="13" id="{A43B2EF1-828C-46B0-9583-D2439904EB89}">
            <xm:f>$S$8='Assessment Details'!$Q$23</xm:f>
            <x14:dxf>
              <border>
                <left style="thin">
                  <color theme="0"/>
                </left>
                <right style="thin">
                  <color theme="0"/>
                </right>
                <top style="thin">
                  <color theme="0"/>
                </top>
                <bottom style="thin">
                  <color theme="0"/>
                </bottom>
                <vertical/>
                <horizontal/>
              </border>
            </x14:dxf>
          </x14:cfRule>
          <xm:sqref>U73</xm:sqref>
        </x14:conditionalFormatting>
        <x14:conditionalFormatting xmlns:xm="http://schemas.microsoft.com/office/excel/2006/main">
          <x14:cfRule type="expression" priority="12" id="{0F665880-B388-413D-9175-8F65BF454444}">
            <xm:f>$S$8='Assessment Details'!$Q$23</xm:f>
            <x14:dxf>
              <font>
                <color theme="0"/>
              </font>
              <fill>
                <patternFill>
                  <bgColor theme="0"/>
                </patternFill>
              </fill>
              <border>
                <vertical/>
                <horizontal/>
              </border>
            </x14:dxf>
          </x14:cfRule>
          <xm:sqref>N73</xm:sqref>
        </x14:conditionalFormatting>
        <x14:conditionalFormatting xmlns:xm="http://schemas.microsoft.com/office/excel/2006/main">
          <x14:cfRule type="expression" priority="11" id="{D1C0510B-D080-4431-BC04-D83EF8A1ECEB}">
            <xm:f>$S$8='Assessment Details'!$Q$23</xm:f>
            <x14:dxf>
              <border>
                <left style="thin">
                  <color theme="0"/>
                </left>
                <right style="thin">
                  <color theme="0"/>
                </right>
                <top style="thin">
                  <color theme="0"/>
                </top>
                <bottom style="thin">
                  <color theme="0"/>
                </bottom>
                <vertical/>
                <horizontal/>
              </border>
            </x14:dxf>
          </x14:cfRule>
          <xm:sqref>N73</xm:sqref>
        </x14:conditionalFormatting>
        <x14:conditionalFormatting xmlns:xm="http://schemas.microsoft.com/office/excel/2006/main">
          <x14:cfRule type="expression" priority="10" id="{641C13F4-D14D-4ABF-A7A3-FC1C1E8AEA03}">
            <xm:f>$S$8='Assessment Details'!$Q$23</xm:f>
            <x14:dxf>
              <font>
                <color theme="0"/>
              </font>
              <fill>
                <patternFill>
                  <bgColor theme="0"/>
                </patternFill>
              </fill>
              <border>
                <vertical/>
                <horizontal/>
              </border>
            </x14:dxf>
          </x14:cfRule>
          <xm:sqref>U73</xm:sqref>
        </x14:conditionalFormatting>
        <x14:conditionalFormatting xmlns:xm="http://schemas.microsoft.com/office/excel/2006/main">
          <x14:cfRule type="expression" priority="9" id="{3060AF4D-2791-4CD9-884D-18BE96C3F9FD}">
            <xm:f>$S$8='Assessment Details'!$Q$23</xm:f>
            <x14:dxf>
              <border>
                <left style="thin">
                  <color theme="0"/>
                </left>
                <right style="thin">
                  <color theme="0"/>
                </right>
                <top style="thin">
                  <color theme="0"/>
                </top>
                <bottom style="thin">
                  <color theme="0"/>
                </bottom>
                <vertical/>
                <horizontal/>
              </border>
            </x14:dxf>
          </x14:cfRule>
          <xm:sqref>U73</xm:sqref>
        </x14:conditionalFormatting>
        <x14:conditionalFormatting xmlns:xm="http://schemas.microsoft.com/office/excel/2006/main">
          <x14:cfRule type="expression" priority="8" id="{9632447C-E102-4597-ADAF-9559D011CA22}">
            <xm:f>$S$8='Assessment Details'!$Q$23</xm:f>
            <x14:dxf>
              <font>
                <color theme="0"/>
              </font>
              <fill>
                <patternFill>
                  <bgColor theme="0"/>
                </patternFill>
              </fill>
              <border>
                <vertical/>
                <horizontal/>
              </border>
            </x14:dxf>
          </x14:cfRule>
          <xm:sqref>W73</xm:sqref>
        </x14:conditionalFormatting>
        <x14:conditionalFormatting xmlns:xm="http://schemas.microsoft.com/office/excel/2006/main">
          <x14:cfRule type="expression" priority="7" id="{CF6C7A36-6DC9-465A-8723-B8470D01758F}">
            <xm:f>$S$8='Assessment Details'!$Q$23</xm:f>
            <x14:dxf>
              <border>
                <left style="thin">
                  <color theme="0"/>
                </left>
                <right style="thin">
                  <color theme="0"/>
                </right>
                <top style="thin">
                  <color theme="0"/>
                </top>
                <bottom style="thin">
                  <color theme="0"/>
                </bottom>
                <vertical/>
                <horizontal/>
              </border>
            </x14:dxf>
          </x14:cfRule>
          <xm:sqref>W73</xm:sqref>
        </x14:conditionalFormatting>
        <x14:conditionalFormatting xmlns:xm="http://schemas.microsoft.com/office/excel/2006/main">
          <x14:cfRule type="expression" priority="20" id="{D396B396-D304-4E83-B652-E7233ED31E95}">
            <xm:f>$Z$8='Assessment Details'!$Q$23</xm:f>
            <x14:dxf>
              <font>
                <color theme="0"/>
              </font>
              <fill>
                <patternFill>
                  <bgColor theme="0"/>
                </patternFill>
              </fill>
            </x14:dxf>
          </x14:cfRule>
          <xm:sqref>U73:Z73</xm:sqref>
        </x14:conditionalFormatting>
        <x14:conditionalFormatting xmlns:xm="http://schemas.microsoft.com/office/excel/2006/main">
          <x14:cfRule type="expression" priority="21" id="{04515C0B-0410-4740-8F84-8649A56852AE}">
            <xm:f>$Z$8='Assessment Details'!$Q$23</xm:f>
            <x14:dxf>
              <border>
                <left style="thin">
                  <color theme="0"/>
                </left>
                <right style="thin">
                  <color theme="0"/>
                </right>
                <top style="thin">
                  <color theme="0"/>
                </top>
                <bottom style="thin">
                  <color theme="0"/>
                </bottom>
                <vertical/>
                <horizontal/>
              </border>
            </x14:dxf>
          </x14:cfRule>
          <xm:sqref>U73:Z73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R75"/>
  <sheetViews>
    <sheetView zoomScaleNormal="100" workbookViewId="0">
      <selection activeCell="D11" sqref="D11:P11"/>
    </sheetView>
  </sheetViews>
  <sheetFormatPr defaultColWidth="9.140625" defaultRowHeight="15" x14ac:dyDescent="0.25"/>
  <cols>
    <col min="1" max="1" width="2.7109375" style="1" customWidth="1"/>
    <col min="2" max="2" width="17" style="1" bestFit="1" customWidth="1"/>
    <col min="3" max="3" width="15.85546875" style="1" customWidth="1"/>
    <col min="4" max="16" width="9.140625" style="1"/>
    <col min="17" max="17" width="3.140625" style="1" customWidth="1"/>
    <col min="18" max="16384" width="9.140625" style="1"/>
  </cols>
  <sheetData>
    <row r="1" spans="1:18" ht="15" customHeight="1" thickBot="1" x14ac:dyDescent="0.3">
      <c r="B1" s="1391"/>
      <c r="C1" s="1392"/>
      <c r="D1" s="1392"/>
      <c r="E1" s="1392"/>
      <c r="F1" s="1392"/>
      <c r="G1" s="1392"/>
      <c r="H1" s="1392"/>
      <c r="I1" s="1392"/>
      <c r="J1" s="1392"/>
      <c r="K1" s="1392"/>
      <c r="L1" s="1392"/>
    </row>
    <row r="2" spans="1:18" ht="42" customHeight="1" x14ac:dyDescent="0.35">
      <c r="B2" s="1397" t="s">
        <v>969</v>
      </c>
      <c r="C2" s="1398"/>
      <c r="D2" s="1398"/>
      <c r="E2" s="1398"/>
      <c r="F2" s="1398"/>
      <c r="G2" s="1398"/>
      <c r="H2" s="1398"/>
      <c r="I2" s="1398"/>
      <c r="J2" s="1398"/>
      <c r="K2" s="1398"/>
      <c r="L2" s="1398"/>
      <c r="M2" s="588"/>
      <c r="N2" s="589"/>
      <c r="O2" s="589"/>
      <c r="P2" s="634" t="str">
        <f>IF('Manuell filtrering og justering'!I2='Manuell filtrering og justering'!J2,"Bespoke","")</f>
        <v/>
      </c>
    </row>
    <row r="3" spans="1:18" ht="15" customHeight="1" x14ac:dyDescent="0.25">
      <c r="B3" s="590"/>
      <c r="C3" s="591"/>
      <c r="D3" s="591"/>
      <c r="E3" s="591"/>
      <c r="F3" s="591"/>
      <c r="G3" s="591"/>
      <c r="H3" s="591"/>
      <c r="I3" s="591"/>
      <c r="J3" s="591"/>
      <c r="K3" s="591"/>
      <c r="L3" s="591"/>
      <c r="M3" s="3"/>
      <c r="N3" s="3"/>
      <c r="O3" s="3"/>
      <c r="P3" s="592"/>
    </row>
    <row r="4" spans="1:18" ht="15" customHeight="1" x14ac:dyDescent="0.25">
      <c r="B4" s="593" t="s">
        <v>2</v>
      </c>
      <c r="C4" s="593" t="s">
        <v>6</v>
      </c>
      <c r="D4" s="1399" t="s">
        <v>1045</v>
      </c>
      <c r="E4" s="1400"/>
      <c r="F4" s="1400"/>
      <c r="G4" s="1400"/>
      <c r="H4" s="1400"/>
      <c r="I4" s="1400"/>
      <c r="J4" s="1400"/>
      <c r="K4" s="1400"/>
      <c r="L4" s="1400"/>
      <c r="M4" s="1400"/>
      <c r="N4" s="1400"/>
      <c r="O4" s="1400"/>
      <c r="P4" s="1401"/>
    </row>
    <row r="5" spans="1:18" ht="76.5" customHeight="1" x14ac:dyDescent="0.25">
      <c r="B5" s="606" t="s">
        <v>1164</v>
      </c>
      <c r="C5" s="594">
        <v>45327</v>
      </c>
      <c r="D5" s="1395" t="s">
        <v>1165</v>
      </c>
      <c r="E5" s="1396"/>
      <c r="F5" s="1396"/>
      <c r="G5" s="1396"/>
      <c r="H5" s="1396"/>
      <c r="I5" s="1396"/>
      <c r="J5" s="1396"/>
      <c r="K5" s="1396"/>
      <c r="L5" s="1396"/>
      <c r="M5" s="1396"/>
      <c r="N5" s="1396"/>
      <c r="O5" s="1396"/>
      <c r="P5" s="1396"/>
    </row>
    <row r="6" spans="1:18" ht="18.75" customHeight="1" x14ac:dyDescent="0.25">
      <c r="A6" s="3"/>
      <c r="B6" s="595"/>
      <c r="C6" s="596"/>
      <c r="D6" s="597"/>
      <c r="E6" s="597"/>
      <c r="F6" s="597"/>
      <c r="G6" s="597"/>
      <c r="H6" s="597"/>
      <c r="I6" s="597"/>
      <c r="J6" s="597"/>
      <c r="K6" s="597"/>
      <c r="L6" s="597"/>
      <c r="M6" s="597"/>
      <c r="N6" s="598"/>
      <c r="O6" s="598"/>
      <c r="P6" s="598"/>
      <c r="Q6" s="3"/>
      <c r="R6" s="3"/>
    </row>
    <row r="7" spans="1:18" x14ac:dyDescent="0.25">
      <c r="B7" s="599" t="s">
        <v>3</v>
      </c>
      <c r="C7" s="600" t="s">
        <v>6</v>
      </c>
      <c r="D7" s="601" t="s">
        <v>1045</v>
      </c>
      <c r="E7" s="602"/>
      <c r="F7" s="602"/>
      <c r="G7" s="602"/>
      <c r="H7" s="602"/>
      <c r="I7" s="602"/>
      <c r="J7" s="602"/>
      <c r="K7" s="602"/>
      <c r="L7" s="602"/>
      <c r="M7" s="602"/>
      <c r="N7" s="602"/>
      <c r="O7" s="602"/>
      <c r="P7" s="603"/>
    </row>
    <row r="8" spans="1:18" ht="110.25" customHeight="1" x14ac:dyDescent="0.25">
      <c r="B8" s="606" t="s">
        <v>1138</v>
      </c>
      <c r="C8" s="594">
        <v>45033</v>
      </c>
      <c r="D8" s="1395" t="s">
        <v>1139</v>
      </c>
      <c r="E8" s="1396"/>
      <c r="F8" s="1396"/>
      <c r="G8" s="1396"/>
      <c r="H8" s="1396"/>
      <c r="I8" s="1396"/>
      <c r="J8" s="1396"/>
      <c r="K8" s="1396"/>
      <c r="L8" s="1396"/>
      <c r="M8" s="1396"/>
      <c r="N8" s="1396"/>
      <c r="O8" s="1396"/>
      <c r="P8" s="1396"/>
    </row>
    <row r="9" spans="1:18" ht="132" customHeight="1" x14ac:dyDescent="0.25">
      <c r="B9" s="606" t="s">
        <v>1104</v>
      </c>
      <c r="C9" s="594">
        <v>44886</v>
      </c>
      <c r="D9" s="1395" t="s">
        <v>1110</v>
      </c>
      <c r="E9" s="1396"/>
      <c r="F9" s="1396"/>
      <c r="G9" s="1396"/>
      <c r="H9" s="1396"/>
      <c r="I9" s="1396"/>
      <c r="J9" s="1396"/>
      <c r="K9" s="1396"/>
      <c r="L9" s="1396"/>
      <c r="M9" s="1396"/>
      <c r="N9" s="1396"/>
      <c r="O9" s="1396"/>
      <c r="P9" s="1396"/>
    </row>
    <row r="10" spans="1:18" ht="144" customHeight="1" x14ac:dyDescent="0.25">
      <c r="B10" s="606" t="s">
        <v>1085</v>
      </c>
      <c r="C10" s="594">
        <v>44805</v>
      </c>
      <c r="D10" s="1408" t="s">
        <v>1092</v>
      </c>
      <c r="E10" s="1396"/>
      <c r="F10" s="1396"/>
      <c r="G10" s="1396"/>
      <c r="H10" s="1396"/>
      <c r="I10" s="1396"/>
      <c r="J10" s="1396"/>
      <c r="K10" s="1396"/>
      <c r="L10" s="1396"/>
      <c r="M10" s="1396"/>
      <c r="N10" s="1396"/>
      <c r="O10" s="1396"/>
      <c r="P10" s="1396"/>
    </row>
    <row r="11" spans="1:18" ht="57" customHeight="1" x14ac:dyDescent="0.25">
      <c r="B11" s="606" t="s">
        <v>1044</v>
      </c>
      <c r="C11" s="594">
        <v>44736</v>
      </c>
      <c r="D11" s="1405" t="s">
        <v>1049</v>
      </c>
      <c r="E11" s="1406"/>
      <c r="F11" s="1406"/>
      <c r="G11" s="1406"/>
      <c r="H11" s="1406"/>
      <c r="I11" s="1406"/>
      <c r="J11" s="1406"/>
      <c r="K11" s="1406"/>
      <c r="L11" s="1406"/>
      <c r="M11" s="1406"/>
      <c r="N11" s="1406"/>
      <c r="O11" s="1406"/>
      <c r="P11" s="1407"/>
    </row>
    <row r="12" spans="1:18" ht="80.25" customHeight="1" x14ac:dyDescent="0.25">
      <c r="B12" s="606" t="s">
        <v>1038</v>
      </c>
      <c r="C12" s="594">
        <v>44673</v>
      </c>
      <c r="D12" s="1405" t="s">
        <v>1039</v>
      </c>
      <c r="E12" s="1406"/>
      <c r="F12" s="1406"/>
      <c r="G12" s="1406"/>
      <c r="H12" s="1406"/>
      <c r="I12" s="1406"/>
      <c r="J12" s="1406"/>
      <c r="K12" s="1406"/>
      <c r="L12" s="1406"/>
      <c r="M12" s="1406"/>
      <c r="N12" s="1406"/>
      <c r="O12" s="1406"/>
      <c r="P12" s="1407"/>
    </row>
    <row r="13" spans="1:18" ht="27.75" customHeight="1" x14ac:dyDescent="0.25">
      <c r="B13" s="606" t="s">
        <v>1036</v>
      </c>
      <c r="C13" s="594">
        <v>44635</v>
      </c>
      <c r="D13" s="1402" t="s">
        <v>1037</v>
      </c>
      <c r="E13" s="1403"/>
      <c r="F13" s="1403"/>
      <c r="G13" s="1403"/>
      <c r="H13" s="1403"/>
      <c r="I13" s="1403"/>
      <c r="J13" s="1403"/>
      <c r="K13" s="1403"/>
      <c r="L13" s="1403"/>
      <c r="M13" s="1403"/>
      <c r="N13" s="1403"/>
      <c r="O13" s="1403"/>
      <c r="P13" s="1404"/>
    </row>
    <row r="14" spans="1:18" x14ac:dyDescent="0.25">
      <c r="B14" s="606" t="s">
        <v>1021</v>
      </c>
      <c r="C14" s="594">
        <v>44620</v>
      </c>
      <c r="D14" s="1402" t="s">
        <v>1007</v>
      </c>
      <c r="E14" s="1403"/>
      <c r="F14" s="1403"/>
      <c r="G14" s="1403"/>
      <c r="H14" s="1403"/>
      <c r="I14" s="1403"/>
      <c r="J14" s="1403"/>
      <c r="K14" s="1403"/>
      <c r="L14" s="1403"/>
      <c r="M14" s="1403"/>
      <c r="N14" s="1403"/>
      <c r="O14" s="1403"/>
      <c r="P14" s="1404"/>
    </row>
    <row r="15" spans="1:18" x14ac:dyDescent="0.25">
      <c r="B15" s="606"/>
      <c r="C15" s="594"/>
      <c r="D15" s="1393"/>
      <c r="E15" s="1394"/>
      <c r="F15" s="1394"/>
      <c r="G15" s="1394"/>
      <c r="H15" s="1394"/>
      <c r="I15" s="1394"/>
      <c r="J15" s="1394"/>
      <c r="K15" s="1394"/>
      <c r="L15" s="1394"/>
      <c r="M15" s="1394"/>
      <c r="N15" s="1394"/>
      <c r="O15" s="1394"/>
      <c r="P15" s="1394"/>
    </row>
    <row r="16" spans="1:18" x14ac:dyDescent="0.25">
      <c r="B16" s="604"/>
      <c r="C16" s="605"/>
      <c r="D16" s="1411"/>
      <c r="E16" s="1410"/>
      <c r="F16" s="1410"/>
      <c r="G16" s="1410"/>
      <c r="H16" s="1410"/>
      <c r="I16" s="1410"/>
      <c r="J16" s="1410"/>
      <c r="K16" s="1410"/>
      <c r="L16" s="1410"/>
      <c r="M16" s="1410"/>
      <c r="N16" s="1410"/>
      <c r="O16" s="1410"/>
      <c r="P16" s="1410"/>
    </row>
    <row r="17" spans="2:16" x14ac:dyDescent="0.25">
      <c r="B17" s="604"/>
      <c r="C17" s="605"/>
      <c r="D17" s="1411"/>
      <c r="E17" s="1410"/>
      <c r="F17" s="1410"/>
      <c r="G17" s="1410"/>
      <c r="H17" s="1410"/>
      <c r="I17" s="1410"/>
      <c r="J17" s="1410"/>
      <c r="K17" s="1410"/>
      <c r="L17" s="1410"/>
      <c r="M17" s="1410"/>
      <c r="N17" s="1410"/>
      <c r="O17" s="1410"/>
      <c r="P17" s="1410"/>
    </row>
    <row r="18" spans="2:16" x14ac:dyDescent="0.25">
      <c r="B18" s="604"/>
      <c r="C18" s="605"/>
      <c r="D18" s="1409"/>
      <c r="E18" s="1410"/>
      <c r="F18" s="1410"/>
      <c r="G18" s="1410"/>
      <c r="H18" s="1410"/>
      <c r="I18" s="1410"/>
      <c r="J18" s="1410"/>
      <c r="K18" s="1410"/>
      <c r="L18" s="1410"/>
      <c r="M18" s="1410"/>
      <c r="N18" s="1410"/>
      <c r="O18" s="1410"/>
      <c r="P18" s="1410"/>
    </row>
    <row r="19" spans="2:16" ht="13.5" customHeight="1" x14ac:dyDescent="0.25">
      <c r="B19" s="604"/>
      <c r="C19" s="605"/>
      <c r="D19" s="1409"/>
      <c r="E19" s="1410"/>
      <c r="F19" s="1410"/>
      <c r="G19" s="1410"/>
      <c r="H19" s="1410"/>
      <c r="I19" s="1410"/>
      <c r="J19" s="1410"/>
      <c r="K19" s="1410"/>
      <c r="L19" s="1410"/>
      <c r="M19" s="1410"/>
      <c r="N19" s="1410"/>
      <c r="O19" s="1410"/>
      <c r="P19" s="1410"/>
    </row>
    <row r="20" spans="2:16" x14ac:dyDescent="0.25">
      <c r="B20" s="604"/>
      <c r="C20" s="605"/>
      <c r="D20" s="1409"/>
      <c r="E20" s="1410"/>
      <c r="F20" s="1410"/>
      <c r="G20" s="1410"/>
      <c r="H20" s="1410"/>
      <c r="I20" s="1410"/>
      <c r="J20" s="1410"/>
      <c r="K20" s="1410"/>
      <c r="L20" s="1410"/>
      <c r="M20" s="1410"/>
      <c r="N20" s="1410"/>
      <c r="O20" s="1410"/>
      <c r="P20" s="1410"/>
    </row>
    <row r="21" spans="2:16" x14ac:dyDescent="0.25">
      <c r="B21" s="607"/>
      <c r="C21" s="607"/>
      <c r="D21" s="607"/>
      <c r="E21" s="607"/>
      <c r="F21" s="607"/>
      <c r="G21" s="607"/>
      <c r="H21" s="607"/>
      <c r="I21" s="607"/>
      <c r="J21" s="607"/>
      <c r="K21" s="607"/>
      <c r="L21" s="607"/>
      <c r="M21" s="607"/>
      <c r="N21" s="607"/>
      <c r="O21" s="607"/>
      <c r="P21" s="607"/>
    </row>
    <row r="22" spans="2:16" x14ac:dyDescent="0.25">
      <c r="B22" s="607"/>
      <c r="C22" s="607"/>
      <c r="D22" s="607"/>
      <c r="E22" s="607"/>
      <c r="F22" s="607"/>
      <c r="G22" s="607"/>
      <c r="H22" s="607"/>
      <c r="I22" s="607"/>
      <c r="J22" s="607"/>
      <c r="K22" s="607"/>
      <c r="L22" s="607"/>
      <c r="M22" s="607"/>
      <c r="N22" s="607"/>
      <c r="O22" s="607"/>
      <c r="P22" s="607"/>
    </row>
    <row r="23" spans="2:16" x14ac:dyDescent="0.25">
      <c r="B23" s="607"/>
      <c r="C23" s="607"/>
      <c r="D23" s="607"/>
      <c r="E23" s="607"/>
      <c r="F23" s="607"/>
      <c r="G23" s="607"/>
      <c r="H23" s="607"/>
      <c r="I23" s="607"/>
      <c r="J23" s="607"/>
      <c r="K23" s="607"/>
      <c r="L23" s="607"/>
      <c r="M23" s="607"/>
      <c r="N23" s="607"/>
      <c r="O23" s="607"/>
      <c r="P23" s="607"/>
    </row>
    <row r="24" spans="2:16" x14ac:dyDescent="0.25">
      <c r="B24" s="607"/>
      <c r="C24" s="607"/>
      <c r="D24" s="607"/>
      <c r="E24" s="607"/>
      <c r="F24" s="607"/>
      <c r="G24" s="607"/>
      <c r="H24" s="607"/>
      <c r="I24" s="607"/>
      <c r="J24" s="607"/>
      <c r="K24" s="607"/>
      <c r="L24" s="607"/>
      <c r="M24" s="607"/>
      <c r="N24" s="607"/>
      <c r="O24" s="607"/>
      <c r="P24" s="607"/>
    </row>
    <row r="25" spans="2:16" x14ac:dyDescent="0.25">
      <c r="B25" s="607"/>
      <c r="C25" s="607"/>
      <c r="D25" s="607"/>
      <c r="E25" s="607"/>
      <c r="F25" s="607"/>
      <c r="G25" s="607"/>
      <c r="H25" s="607"/>
      <c r="I25" s="607"/>
      <c r="J25" s="607"/>
      <c r="K25" s="607"/>
      <c r="L25" s="607"/>
      <c r="M25" s="607"/>
      <c r="N25" s="607"/>
      <c r="O25" s="607"/>
      <c r="P25" s="607"/>
    </row>
    <row r="26" spans="2:16" x14ac:dyDescent="0.25">
      <c r="B26" s="607"/>
      <c r="C26" s="607"/>
      <c r="D26" s="607"/>
      <c r="E26" s="607"/>
      <c r="F26" s="607"/>
      <c r="G26" s="607"/>
      <c r="H26" s="607"/>
      <c r="I26" s="607"/>
      <c r="J26" s="607"/>
      <c r="K26" s="607"/>
      <c r="L26" s="607"/>
      <c r="M26" s="607"/>
      <c r="N26" s="607"/>
      <c r="O26" s="607"/>
      <c r="P26" s="607"/>
    </row>
    <row r="27" spans="2:16" x14ac:dyDescent="0.25">
      <c r="B27" s="607"/>
      <c r="C27" s="607"/>
      <c r="D27" s="607"/>
      <c r="E27" s="607"/>
      <c r="F27" s="607"/>
      <c r="G27" s="607"/>
      <c r="H27" s="607"/>
      <c r="I27" s="607"/>
      <c r="J27" s="607"/>
      <c r="K27" s="607"/>
      <c r="L27" s="607"/>
      <c r="M27" s="607"/>
      <c r="N27" s="607"/>
      <c r="O27" s="607"/>
      <c r="P27" s="607"/>
    </row>
    <row r="28" spans="2:16" x14ac:dyDescent="0.25">
      <c r="B28" s="607"/>
      <c r="C28" s="607"/>
      <c r="D28" s="607"/>
      <c r="E28" s="607"/>
      <c r="F28" s="607"/>
      <c r="G28" s="607"/>
      <c r="H28" s="607"/>
      <c r="I28" s="607"/>
      <c r="J28" s="607"/>
      <c r="K28" s="607"/>
      <c r="L28" s="607"/>
      <c r="M28" s="607"/>
      <c r="N28" s="607"/>
      <c r="O28" s="607"/>
      <c r="P28" s="607"/>
    </row>
    <row r="29" spans="2:16" x14ac:dyDescent="0.25">
      <c r="B29" s="3"/>
      <c r="C29" s="3"/>
      <c r="D29" s="3"/>
      <c r="E29" s="3"/>
      <c r="F29" s="3"/>
      <c r="G29" s="3"/>
      <c r="H29" s="3"/>
      <c r="I29" s="3"/>
      <c r="J29" s="3"/>
      <c r="K29" s="3"/>
      <c r="L29" s="3"/>
      <c r="M29" s="3"/>
      <c r="N29" s="3"/>
      <c r="O29" s="3"/>
      <c r="P29" s="3"/>
    </row>
    <row r="30" spans="2:16" x14ac:dyDescent="0.25">
      <c r="B30" s="3"/>
      <c r="C30" s="3"/>
      <c r="D30" s="3"/>
      <c r="E30" s="3"/>
      <c r="F30" s="3"/>
      <c r="G30" s="3"/>
      <c r="H30" s="3"/>
      <c r="I30" s="3"/>
      <c r="J30" s="3"/>
      <c r="K30" s="3"/>
      <c r="L30" s="3"/>
      <c r="M30" s="3"/>
      <c r="N30" s="3"/>
      <c r="O30" s="3"/>
      <c r="P30" s="3"/>
    </row>
    <row r="31" spans="2:16" x14ac:dyDescent="0.25">
      <c r="B31" s="3"/>
      <c r="C31" s="3"/>
      <c r="D31" s="3"/>
      <c r="E31" s="3"/>
      <c r="F31" s="3"/>
      <c r="G31" s="3"/>
      <c r="H31" s="3"/>
      <c r="I31" s="3"/>
      <c r="J31" s="3"/>
      <c r="K31" s="3"/>
      <c r="L31" s="3"/>
      <c r="M31" s="3"/>
      <c r="N31" s="3"/>
      <c r="O31" s="3"/>
      <c r="P31" s="3"/>
    </row>
    <row r="32" spans="2:16" x14ac:dyDescent="0.25">
      <c r="B32" s="3"/>
      <c r="C32" s="3"/>
      <c r="D32" s="3"/>
      <c r="E32" s="3"/>
      <c r="F32" s="3"/>
      <c r="G32" s="3"/>
      <c r="H32" s="3"/>
      <c r="I32" s="3"/>
      <c r="J32" s="3"/>
      <c r="K32" s="3"/>
      <c r="L32" s="3"/>
      <c r="M32" s="3"/>
      <c r="N32" s="3"/>
      <c r="O32" s="3"/>
      <c r="P32" s="3"/>
    </row>
    <row r="33" spans="2:16" x14ac:dyDescent="0.25">
      <c r="B33" s="3"/>
      <c r="C33" s="3"/>
      <c r="D33" s="3"/>
      <c r="E33" s="3"/>
      <c r="F33" s="3"/>
      <c r="G33" s="3"/>
      <c r="H33" s="3"/>
      <c r="I33" s="3"/>
      <c r="J33" s="3"/>
      <c r="K33" s="3"/>
      <c r="L33" s="3"/>
      <c r="M33" s="3"/>
      <c r="N33" s="3"/>
      <c r="O33" s="3"/>
      <c r="P33" s="3"/>
    </row>
    <row r="34" spans="2:16" x14ac:dyDescent="0.25">
      <c r="B34" s="3"/>
      <c r="C34" s="3"/>
      <c r="D34" s="3"/>
      <c r="E34" s="3"/>
      <c r="F34" s="3"/>
      <c r="G34" s="3"/>
      <c r="H34" s="3"/>
      <c r="I34" s="3"/>
      <c r="J34" s="3"/>
      <c r="K34" s="3"/>
      <c r="L34" s="3"/>
      <c r="M34" s="3"/>
      <c r="N34" s="3"/>
      <c r="O34" s="3"/>
      <c r="P34" s="3"/>
    </row>
    <row r="35" spans="2:16" x14ac:dyDescent="0.25">
      <c r="B35" s="3"/>
      <c r="C35" s="3"/>
      <c r="D35" s="3"/>
      <c r="E35" s="3"/>
      <c r="F35" s="3"/>
      <c r="G35" s="3"/>
      <c r="H35" s="3"/>
      <c r="I35" s="3"/>
      <c r="J35" s="3"/>
      <c r="K35" s="3"/>
      <c r="L35" s="3"/>
      <c r="M35" s="3"/>
      <c r="N35" s="3"/>
      <c r="O35" s="3"/>
      <c r="P35" s="3"/>
    </row>
    <row r="36" spans="2:16" x14ac:dyDescent="0.25">
      <c r="B36" s="3"/>
      <c r="C36" s="3"/>
      <c r="D36" s="3"/>
      <c r="E36" s="3"/>
      <c r="F36" s="3"/>
      <c r="G36" s="3"/>
      <c r="H36" s="3"/>
      <c r="I36" s="3"/>
      <c r="J36" s="3"/>
      <c r="K36" s="3"/>
      <c r="L36" s="3"/>
      <c r="M36" s="3"/>
      <c r="N36" s="3"/>
      <c r="O36" s="3"/>
      <c r="P36" s="3"/>
    </row>
    <row r="37" spans="2:16" x14ac:dyDescent="0.25">
      <c r="B37" s="3"/>
      <c r="C37" s="3"/>
      <c r="D37" s="3"/>
      <c r="E37" s="3"/>
      <c r="F37" s="3"/>
      <c r="G37" s="3"/>
      <c r="H37" s="3"/>
      <c r="I37" s="3"/>
      <c r="J37" s="3"/>
      <c r="K37" s="3"/>
      <c r="L37" s="3"/>
      <c r="M37" s="3"/>
      <c r="N37" s="3"/>
      <c r="O37" s="3"/>
      <c r="P37" s="3"/>
    </row>
    <row r="38" spans="2:16" x14ac:dyDescent="0.25">
      <c r="B38" s="3"/>
      <c r="C38" s="3"/>
      <c r="D38" s="3"/>
      <c r="E38" s="3"/>
      <c r="F38" s="3"/>
      <c r="G38" s="3"/>
      <c r="H38" s="3"/>
      <c r="I38" s="3"/>
      <c r="J38" s="3"/>
      <c r="K38" s="3"/>
      <c r="L38" s="3"/>
      <c r="M38" s="3"/>
      <c r="N38" s="3"/>
      <c r="O38" s="3"/>
      <c r="P38" s="3"/>
    </row>
    <row r="39" spans="2:16" x14ac:dyDescent="0.25">
      <c r="B39" s="3"/>
      <c r="C39" s="3"/>
      <c r="D39" s="3"/>
      <c r="E39" s="3"/>
      <c r="F39" s="3"/>
      <c r="G39" s="3"/>
      <c r="H39" s="3"/>
      <c r="I39" s="3"/>
      <c r="J39" s="3"/>
      <c r="K39" s="3"/>
      <c r="L39" s="3"/>
      <c r="M39" s="3"/>
      <c r="N39" s="3"/>
      <c r="O39" s="3"/>
      <c r="P39" s="3"/>
    </row>
    <row r="40" spans="2:16" x14ac:dyDescent="0.25">
      <c r="B40" s="3"/>
      <c r="C40" s="3"/>
      <c r="D40" s="3"/>
      <c r="E40" s="3"/>
      <c r="F40" s="3"/>
      <c r="G40" s="3"/>
      <c r="H40" s="3"/>
      <c r="I40" s="3"/>
      <c r="J40" s="3"/>
      <c r="K40" s="3"/>
      <c r="L40" s="3"/>
      <c r="M40" s="3"/>
      <c r="N40" s="3"/>
      <c r="O40" s="3"/>
      <c r="P40" s="3"/>
    </row>
    <row r="41" spans="2:16" x14ac:dyDescent="0.25">
      <c r="B41" s="3"/>
      <c r="C41" s="3"/>
      <c r="D41" s="3"/>
      <c r="E41" s="3"/>
      <c r="F41" s="3"/>
      <c r="G41" s="3"/>
      <c r="H41" s="3"/>
      <c r="I41" s="3"/>
      <c r="J41" s="3"/>
      <c r="K41" s="3"/>
      <c r="L41" s="3"/>
      <c r="M41" s="3"/>
      <c r="N41" s="3"/>
      <c r="O41" s="3"/>
      <c r="P41" s="3"/>
    </row>
    <row r="42" spans="2:16" x14ac:dyDescent="0.25">
      <c r="B42" s="3"/>
      <c r="C42" s="3"/>
      <c r="D42" s="3"/>
      <c r="E42" s="3"/>
      <c r="F42" s="3"/>
      <c r="G42" s="3"/>
      <c r="H42" s="3"/>
      <c r="I42" s="3"/>
      <c r="J42" s="3"/>
      <c r="K42" s="3"/>
      <c r="L42" s="3"/>
      <c r="M42" s="3"/>
      <c r="N42" s="3"/>
      <c r="O42" s="3"/>
      <c r="P42" s="3"/>
    </row>
    <row r="43" spans="2:16" x14ac:dyDescent="0.25">
      <c r="B43" s="3"/>
      <c r="C43" s="3"/>
      <c r="D43" s="3"/>
      <c r="E43" s="3"/>
      <c r="F43" s="3"/>
      <c r="G43" s="3"/>
      <c r="H43" s="3"/>
      <c r="I43" s="3"/>
      <c r="J43" s="3"/>
      <c r="K43" s="3"/>
      <c r="L43" s="3"/>
      <c r="M43" s="3"/>
      <c r="N43" s="3"/>
      <c r="O43" s="3"/>
      <c r="P43" s="3"/>
    </row>
    <row r="44" spans="2:16" x14ac:dyDescent="0.25">
      <c r="B44" s="3"/>
      <c r="C44" s="3"/>
      <c r="D44" s="3"/>
      <c r="E44" s="3"/>
      <c r="F44" s="3"/>
      <c r="G44" s="3"/>
      <c r="H44" s="3"/>
      <c r="I44" s="3"/>
      <c r="J44" s="3"/>
      <c r="K44" s="3"/>
      <c r="L44" s="3"/>
      <c r="M44" s="3"/>
      <c r="N44" s="3"/>
      <c r="O44" s="3"/>
      <c r="P44" s="3"/>
    </row>
    <row r="45" spans="2:16" x14ac:dyDescent="0.25">
      <c r="B45" s="3"/>
      <c r="C45" s="3"/>
      <c r="D45" s="3"/>
      <c r="E45" s="3"/>
      <c r="F45" s="3"/>
      <c r="G45" s="3"/>
      <c r="H45" s="3"/>
      <c r="I45" s="3"/>
      <c r="J45" s="3"/>
      <c r="K45" s="3"/>
      <c r="L45" s="3"/>
      <c r="M45" s="3"/>
      <c r="N45" s="3"/>
      <c r="O45" s="3"/>
      <c r="P45" s="3"/>
    </row>
    <row r="46" spans="2:16" x14ac:dyDescent="0.25">
      <c r="B46" s="3"/>
      <c r="C46" s="3"/>
      <c r="D46" s="3"/>
      <c r="E46" s="3"/>
      <c r="F46" s="3"/>
      <c r="G46" s="3"/>
      <c r="H46" s="3"/>
      <c r="I46" s="3"/>
      <c r="J46" s="3"/>
      <c r="K46" s="3"/>
      <c r="L46" s="3"/>
      <c r="M46" s="3"/>
      <c r="N46" s="3"/>
      <c r="O46" s="3"/>
      <c r="P46" s="3"/>
    </row>
    <row r="47" spans="2:16" x14ac:dyDescent="0.25">
      <c r="B47" s="3"/>
      <c r="C47" s="3"/>
      <c r="D47" s="3"/>
      <c r="E47" s="3"/>
      <c r="F47" s="3"/>
      <c r="G47" s="3"/>
      <c r="H47" s="3"/>
      <c r="I47" s="3"/>
      <c r="J47" s="3"/>
      <c r="K47" s="3"/>
      <c r="L47" s="3"/>
      <c r="M47" s="3"/>
      <c r="N47" s="3"/>
      <c r="O47" s="3"/>
      <c r="P47" s="3"/>
    </row>
    <row r="48" spans="2:16" x14ac:dyDescent="0.25">
      <c r="B48" s="3"/>
      <c r="C48" s="3"/>
      <c r="D48" s="3"/>
      <c r="E48" s="3"/>
      <c r="F48" s="3"/>
      <c r="G48" s="3"/>
      <c r="H48" s="3"/>
      <c r="I48" s="3"/>
      <c r="J48" s="3"/>
      <c r="K48" s="3"/>
      <c r="L48" s="3"/>
      <c r="M48" s="3"/>
      <c r="N48" s="3"/>
      <c r="O48" s="3"/>
      <c r="P48" s="3"/>
    </row>
    <row r="49" spans="2:16" x14ac:dyDescent="0.25">
      <c r="B49" s="3"/>
      <c r="C49" s="3"/>
      <c r="D49" s="3"/>
      <c r="E49" s="3"/>
      <c r="F49" s="3"/>
      <c r="G49" s="3"/>
      <c r="H49" s="3"/>
      <c r="I49" s="3"/>
      <c r="J49" s="3"/>
      <c r="K49" s="3"/>
      <c r="L49" s="3"/>
      <c r="M49" s="3"/>
      <c r="N49" s="3"/>
      <c r="O49" s="3"/>
      <c r="P49" s="3"/>
    </row>
    <row r="50" spans="2:16" x14ac:dyDescent="0.25">
      <c r="B50" s="3"/>
      <c r="C50" s="3"/>
      <c r="D50" s="3"/>
      <c r="E50" s="3"/>
      <c r="F50" s="3"/>
      <c r="G50" s="3"/>
      <c r="H50" s="3"/>
      <c r="I50" s="3"/>
      <c r="J50" s="3"/>
      <c r="K50" s="3"/>
      <c r="L50" s="3"/>
      <c r="M50" s="3"/>
      <c r="N50" s="3"/>
      <c r="O50" s="3"/>
      <c r="P50" s="3"/>
    </row>
    <row r="51" spans="2:16" x14ac:dyDescent="0.25">
      <c r="B51" s="3"/>
      <c r="C51" s="3"/>
      <c r="D51" s="3"/>
      <c r="E51" s="3"/>
      <c r="F51" s="3"/>
      <c r="G51" s="3"/>
      <c r="H51" s="3"/>
      <c r="I51" s="3"/>
      <c r="J51" s="3"/>
      <c r="K51" s="3"/>
      <c r="L51" s="3"/>
      <c r="M51" s="3"/>
      <c r="N51" s="3"/>
      <c r="O51" s="3"/>
      <c r="P51" s="3"/>
    </row>
    <row r="52" spans="2:16" x14ac:dyDescent="0.25">
      <c r="B52" s="3"/>
      <c r="C52" s="3"/>
      <c r="D52" s="3"/>
      <c r="E52" s="3"/>
      <c r="F52" s="3"/>
      <c r="G52" s="3"/>
      <c r="H52" s="3"/>
      <c r="I52" s="3"/>
      <c r="J52" s="3"/>
      <c r="K52" s="3"/>
      <c r="L52" s="3"/>
      <c r="M52" s="3"/>
      <c r="N52" s="3"/>
      <c r="O52" s="3"/>
      <c r="P52" s="3"/>
    </row>
    <row r="53" spans="2:16" x14ac:dyDescent="0.25">
      <c r="B53" s="3"/>
      <c r="C53" s="3"/>
      <c r="D53" s="3"/>
      <c r="E53" s="3"/>
      <c r="F53" s="3"/>
      <c r="G53" s="3"/>
      <c r="H53" s="3"/>
      <c r="I53" s="3"/>
      <c r="J53" s="3"/>
      <c r="K53" s="3"/>
      <c r="L53" s="3"/>
      <c r="M53" s="3"/>
      <c r="N53" s="3"/>
      <c r="O53" s="3"/>
      <c r="P53" s="3"/>
    </row>
    <row r="54" spans="2:16" x14ac:dyDescent="0.25">
      <c r="B54" s="3"/>
      <c r="C54" s="3"/>
      <c r="D54" s="3"/>
      <c r="E54" s="3"/>
      <c r="F54" s="3"/>
      <c r="G54" s="3"/>
      <c r="H54" s="3"/>
      <c r="I54" s="3"/>
      <c r="J54" s="3"/>
      <c r="K54" s="3"/>
      <c r="L54" s="3"/>
      <c r="M54" s="3"/>
      <c r="N54" s="3"/>
      <c r="O54" s="3"/>
      <c r="P54" s="3"/>
    </row>
    <row r="55" spans="2:16" x14ac:dyDescent="0.25">
      <c r="B55" s="3"/>
      <c r="C55" s="3"/>
      <c r="D55" s="3"/>
      <c r="E55" s="3"/>
      <c r="F55" s="3"/>
      <c r="G55" s="3"/>
      <c r="H55" s="3"/>
      <c r="I55" s="3"/>
      <c r="J55" s="3"/>
      <c r="K55" s="3"/>
      <c r="L55" s="3"/>
      <c r="M55" s="3"/>
      <c r="N55" s="3"/>
      <c r="O55" s="3"/>
      <c r="P55" s="3"/>
    </row>
    <row r="56" spans="2:16" x14ac:dyDescent="0.25">
      <c r="B56" s="3"/>
      <c r="C56" s="3"/>
      <c r="D56" s="3"/>
      <c r="E56" s="3"/>
      <c r="F56" s="3"/>
      <c r="G56" s="3"/>
      <c r="H56" s="3"/>
      <c r="I56" s="3"/>
      <c r="J56" s="3"/>
      <c r="K56" s="3"/>
      <c r="L56" s="3"/>
      <c r="M56" s="3"/>
      <c r="N56" s="3"/>
      <c r="O56" s="3"/>
      <c r="P56" s="3"/>
    </row>
    <row r="57" spans="2:16" x14ac:dyDescent="0.25">
      <c r="B57" s="3"/>
      <c r="C57" s="3"/>
      <c r="D57" s="3"/>
      <c r="E57" s="3"/>
      <c r="F57" s="3"/>
      <c r="G57" s="3"/>
      <c r="H57" s="3"/>
      <c r="I57" s="3"/>
      <c r="J57" s="3"/>
      <c r="K57" s="3"/>
      <c r="L57" s="3"/>
      <c r="M57" s="3"/>
      <c r="N57" s="3"/>
      <c r="O57" s="3"/>
      <c r="P57" s="3"/>
    </row>
    <row r="58" spans="2:16" x14ac:dyDescent="0.25">
      <c r="B58" s="3"/>
      <c r="C58" s="3"/>
      <c r="D58" s="3"/>
      <c r="E58" s="3"/>
      <c r="F58" s="3"/>
      <c r="G58" s="3"/>
      <c r="H58" s="3"/>
      <c r="I58" s="3"/>
      <c r="J58" s="3"/>
      <c r="K58" s="3"/>
      <c r="L58" s="3"/>
      <c r="M58" s="3"/>
      <c r="N58" s="3"/>
      <c r="O58" s="3"/>
      <c r="P58" s="3"/>
    </row>
    <row r="59" spans="2:16" x14ac:dyDescent="0.25">
      <c r="B59" s="3"/>
      <c r="C59" s="3"/>
      <c r="D59" s="3"/>
      <c r="E59" s="3"/>
      <c r="F59" s="3"/>
      <c r="G59" s="3"/>
      <c r="H59" s="3"/>
      <c r="I59" s="3"/>
      <c r="J59" s="3"/>
      <c r="K59" s="3"/>
      <c r="L59" s="3"/>
      <c r="M59" s="3"/>
      <c r="N59" s="3"/>
      <c r="O59" s="3"/>
      <c r="P59" s="3"/>
    </row>
    <row r="60" spans="2:16" x14ac:dyDescent="0.25">
      <c r="B60" s="3"/>
      <c r="C60" s="3"/>
      <c r="D60" s="3"/>
      <c r="E60" s="3"/>
      <c r="F60" s="3"/>
      <c r="G60" s="3"/>
      <c r="H60" s="3"/>
      <c r="I60" s="3"/>
      <c r="J60" s="3"/>
      <c r="K60" s="3"/>
      <c r="L60" s="3"/>
      <c r="M60" s="3"/>
      <c r="N60" s="3"/>
      <c r="O60" s="3"/>
      <c r="P60" s="3"/>
    </row>
    <row r="61" spans="2:16" x14ac:dyDescent="0.25">
      <c r="B61" s="3"/>
      <c r="C61" s="3"/>
      <c r="D61" s="3"/>
      <c r="E61" s="3"/>
      <c r="F61" s="3"/>
      <c r="G61" s="3"/>
      <c r="H61" s="3"/>
      <c r="I61" s="3"/>
      <c r="J61" s="3"/>
      <c r="K61" s="3"/>
      <c r="L61" s="3"/>
      <c r="M61" s="3"/>
      <c r="N61" s="3"/>
      <c r="O61" s="3"/>
      <c r="P61" s="3"/>
    </row>
    <row r="62" spans="2:16" x14ac:dyDescent="0.25">
      <c r="B62" s="3"/>
      <c r="C62" s="3"/>
      <c r="D62" s="3"/>
      <c r="E62" s="3"/>
      <c r="F62" s="3"/>
      <c r="G62" s="3"/>
      <c r="H62" s="3"/>
      <c r="I62" s="3"/>
      <c r="J62" s="3"/>
      <c r="K62" s="3"/>
      <c r="L62" s="3"/>
      <c r="M62" s="3"/>
      <c r="N62" s="3"/>
      <c r="O62" s="3"/>
      <c r="P62" s="3"/>
    </row>
    <row r="63" spans="2:16" x14ac:dyDescent="0.25">
      <c r="B63" s="3"/>
      <c r="C63" s="3"/>
      <c r="D63" s="3"/>
      <c r="E63" s="3"/>
      <c r="F63" s="3"/>
      <c r="G63" s="3"/>
      <c r="H63" s="3"/>
      <c r="I63" s="3"/>
      <c r="J63" s="3"/>
      <c r="K63" s="3"/>
      <c r="L63" s="3"/>
      <c r="M63" s="3"/>
      <c r="N63" s="3"/>
      <c r="O63" s="3"/>
      <c r="P63" s="3"/>
    </row>
    <row r="64" spans="2:16" x14ac:dyDescent="0.25">
      <c r="B64" s="3"/>
      <c r="C64" s="3"/>
      <c r="D64" s="3"/>
      <c r="E64" s="3"/>
      <c r="F64" s="3"/>
      <c r="G64" s="3"/>
      <c r="H64" s="3"/>
      <c r="I64" s="3"/>
      <c r="J64" s="3"/>
      <c r="K64" s="3"/>
      <c r="L64" s="3"/>
      <c r="M64" s="3"/>
      <c r="N64" s="3"/>
      <c r="O64" s="3"/>
      <c r="P64" s="3"/>
    </row>
    <row r="65" spans="2:16" x14ac:dyDescent="0.25">
      <c r="B65" s="3"/>
      <c r="C65" s="3"/>
      <c r="D65" s="3"/>
      <c r="E65" s="3"/>
      <c r="F65" s="3"/>
      <c r="G65" s="3"/>
      <c r="H65" s="3"/>
      <c r="I65" s="3"/>
      <c r="J65" s="3"/>
      <c r="K65" s="3"/>
      <c r="L65" s="3"/>
      <c r="M65" s="3"/>
      <c r="N65" s="3"/>
      <c r="O65" s="3"/>
      <c r="P65" s="3"/>
    </row>
    <row r="66" spans="2:16" x14ac:dyDescent="0.25">
      <c r="B66" s="3"/>
      <c r="C66" s="3"/>
      <c r="D66" s="3"/>
      <c r="E66" s="3"/>
      <c r="F66" s="3"/>
      <c r="G66" s="3"/>
      <c r="H66" s="3"/>
      <c r="I66" s="3"/>
      <c r="J66" s="3"/>
      <c r="K66" s="3"/>
      <c r="L66" s="3"/>
      <c r="M66" s="3"/>
      <c r="N66" s="3"/>
      <c r="O66" s="3"/>
      <c r="P66" s="3"/>
    </row>
    <row r="67" spans="2:16" x14ac:dyDescent="0.25">
      <c r="B67" s="3"/>
      <c r="C67" s="3"/>
      <c r="D67" s="3"/>
      <c r="E67" s="3"/>
      <c r="F67" s="3"/>
      <c r="G67" s="3"/>
      <c r="H67" s="3"/>
      <c r="I67" s="3"/>
      <c r="J67" s="3"/>
      <c r="K67" s="3"/>
      <c r="L67" s="3"/>
      <c r="M67" s="3"/>
      <c r="N67" s="3"/>
      <c r="O67" s="3"/>
      <c r="P67" s="3"/>
    </row>
    <row r="68" spans="2:16" x14ac:dyDescent="0.25">
      <c r="B68" s="3"/>
      <c r="C68" s="3"/>
      <c r="D68" s="3"/>
      <c r="E68" s="3"/>
      <c r="F68" s="3"/>
      <c r="G68" s="3"/>
      <c r="H68" s="3"/>
      <c r="I68" s="3"/>
      <c r="J68" s="3"/>
      <c r="K68" s="3"/>
      <c r="L68" s="3"/>
      <c r="M68" s="3"/>
      <c r="N68" s="3"/>
      <c r="O68" s="3"/>
      <c r="P68" s="3"/>
    </row>
    <row r="69" spans="2:16" x14ac:dyDescent="0.25">
      <c r="B69" s="3"/>
      <c r="C69" s="3"/>
      <c r="D69" s="3"/>
      <c r="E69" s="3"/>
      <c r="F69" s="3"/>
      <c r="G69" s="3"/>
      <c r="H69" s="3"/>
      <c r="I69" s="3"/>
      <c r="J69" s="3"/>
      <c r="K69" s="3"/>
      <c r="L69" s="3"/>
      <c r="M69" s="3"/>
      <c r="N69" s="3"/>
      <c r="O69" s="3"/>
      <c r="P69" s="3"/>
    </row>
    <row r="70" spans="2:16" x14ac:dyDescent="0.25">
      <c r="B70" s="3"/>
      <c r="C70" s="3"/>
      <c r="D70" s="3"/>
      <c r="E70" s="3"/>
      <c r="F70" s="3"/>
      <c r="G70" s="3"/>
      <c r="H70" s="3"/>
      <c r="I70" s="3"/>
      <c r="J70" s="3"/>
      <c r="K70" s="3"/>
      <c r="L70" s="3"/>
      <c r="M70" s="3"/>
      <c r="N70" s="3"/>
      <c r="O70" s="3"/>
      <c r="P70" s="3"/>
    </row>
    <row r="71" spans="2:16" x14ac:dyDescent="0.25">
      <c r="B71" s="3"/>
      <c r="C71" s="3"/>
      <c r="D71" s="3"/>
      <c r="E71" s="3"/>
      <c r="F71" s="3"/>
      <c r="G71" s="3"/>
      <c r="H71" s="3"/>
      <c r="I71" s="3"/>
      <c r="J71" s="3"/>
      <c r="K71" s="3"/>
      <c r="L71" s="3"/>
      <c r="M71" s="3"/>
      <c r="N71" s="3"/>
      <c r="O71" s="3"/>
      <c r="P71" s="3"/>
    </row>
    <row r="72" spans="2:16" x14ac:dyDescent="0.25">
      <c r="B72" s="3"/>
      <c r="C72" s="3"/>
      <c r="D72" s="3"/>
      <c r="E72" s="3"/>
      <c r="F72" s="3"/>
      <c r="G72" s="3"/>
      <c r="H72" s="3"/>
      <c r="I72" s="3"/>
      <c r="J72" s="3"/>
      <c r="K72" s="3"/>
      <c r="L72" s="3"/>
      <c r="M72" s="3"/>
      <c r="N72" s="3"/>
      <c r="O72" s="3"/>
      <c r="P72" s="3"/>
    </row>
    <row r="73" spans="2:16" x14ac:dyDescent="0.25">
      <c r="B73" s="3"/>
      <c r="C73" s="3"/>
      <c r="D73" s="3"/>
      <c r="E73" s="3"/>
      <c r="F73" s="3"/>
      <c r="G73" s="3"/>
      <c r="H73" s="3"/>
      <c r="I73" s="3"/>
      <c r="J73" s="3"/>
      <c r="K73" s="3"/>
      <c r="L73" s="3"/>
      <c r="M73" s="3"/>
      <c r="N73" s="3"/>
      <c r="O73" s="3"/>
      <c r="P73" s="3"/>
    </row>
    <row r="74" spans="2:16" x14ac:dyDescent="0.25">
      <c r="B74" s="3"/>
      <c r="C74" s="3"/>
      <c r="D74" s="3"/>
      <c r="E74" s="3"/>
      <c r="F74" s="3"/>
      <c r="G74" s="3"/>
      <c r="H74" s="3"/>
      <c r="I74" s="3"/>
      <c r="J74" s="3"/>
      <c r="K74" s="3"/>
      <c r="L74" s="3"/>
      <c r="M74" s="3"/>
      <c r="N74" s="3"/>
      <c r="O74" s="3"/>
      <c r="P74" s="3"/>
    </row>
    <row r="75" spans="2:16" x14ac:dyDescent="0.25">
      <c r="B75" s="3"/>
      <c r="C75" s="3"/>
      <c r="D75" s="3"/>
      <c r="E75" s="3"/>
      <c r="F75" s="3"/>
      <c r="G75" s="3"/>
      <c r="H75" s="3"/>
      <c r="I75" s="3"/>
      <c r="J75" s="3"/>
      <c r="K75" s="3"/>
      <c r="L75" s="3"/>
      <c r="M75" s="3"/>
      <c r="N75" s="3"/>
      <c r="O75" s="3"/>
      <c r="P75" s="3"/>
    </row>
  </sheetData>
  <sheetProtection algorithmName="SHA-512" hashValue="epzXTzgBeW7nbrrBL41Aobx9IYXuZKF5PzvRhyGjVjw0tVYaigsaejdwGQ32Nsd8PJW5PG7jZPzwQGhefk8dTQ==" saltValue="1QuhO6wKnHrCrGyzddVSeg==" spinCount="100000" sheet="1" objects="1" scenarios="1"/>
  <mergeCells count="17">
    <mergeCell ref="D18:P18"/>
    <mergeCell ref="D19:P19"/>
    <mergeCell ref="D20:P20"/>
    <mergeCell ref="D14:P14"/>
    <mergeCell ref="D17:P17"/>
    <mergeCell ref="D16:P16"/>
    <mergeCell ref="B1:L1"/>
    <mergeCell ref="D15:P15"/>
    <mergeCell ref="D5:P5"/>
    <mergeCell ref="B2:L2"/>
    <mergeCell ref="D4:P4"/>
    <mergeCell ref="D13:P13"/>
    <mergeCell ref="D12:P12"/>
    <mergeCell ref="D11:P11"/>
    <mergeCell ref="D10:P10"/>
    <mergeCell ref="D9:P9"/>
    <mergeCell ref="D8:P8"/>
  </mergeCells>
  <phoneticPr fontId="22" type="noConversion"/>
  <pageMargins left="0.70866141732283472" right="0.70866141732283472" top="0.74803149606299213" bottom="0.74803149606299213" header="0.31496062992125984" footer="0.31496062992125984"/>
  <pageSetup paperSize="9" scale="8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ED8D844509B40B8ED2A4F57557FDF" ma:contentTypeVersion="10" ma:contentTypeDescription="Opprett et nytt dokument." ma:contentTypeScope="" ma:versionID="5a3588df43d0e122934e98f713478315">
  <xsd:schema xmlns:xsd="http://www.w3.org/2001/XMLSchema" xmlns:xs="http://www.w3.org/2001/XMLSchema" xmlns:p="http://schemas.microsoft.com/office/2006/metadata/properties" xmlns:ns2="94fc5000-3977-4bb9-85fe-95b8458bb4bf" xmlns:ns3="8f686a36-9368-4dda-9e9f-a86bde0d326a" targetNamespace="http://schemas.microsoft.com/office/2006/metadata/properties" ma:root="true" ma:fieldsID="5dc860a208286b0380a3671511075df2" ns2:_="" ns3:_="">
    <xsd:import namespace="94fc5000-3977-4bb9-85fe-95b8458bb4bf"/>
    <xsd:import namespace="8f686a36-9368-4dda-9e9f-a86bde0d326a"/>
    <xsd:element name="properties">
      <xsd:complexType>
        <xsd:sequence>
          <xsd:element name="documentManagement">
            <xsd:complexType>
              <xsd:all>
                <xsd:element ref="ns2:_dlc_DocId" minOccurs="0"/>
                <xsd:element ref="ns2:_dlc_DocIdUrl" minOccurs="0"/>
                <xsd:element ref="ns2:_dlc_DocIdPersistId" minOccurs="0"/>
                <xsd:element ref="ns3:Dokumenttype"/>
                <xsd:element ref="ns3:Aktivitet" minOccurs="0"/>
                <xsd:element ref="ns3:Dokumenttema" minOccurs="0"/>
                <xsd:element ref="ns3:Revisjon" minOccurs="0"/>
                <xsd:element ref="ns3:RevisjonsDato" minOccurs="0"/>
                <xsd:element ref="ns3:TilTekst" minOccurs="0"/>
                <xsd:element ref="ns3:FraTekst" minOccurs="0"/>
                <xsd:element ref="ns3:KopiTekst" minOccurs="0"/>
                <xsd:element ref="ns3:SharedWithUsers" minOccurs="0"/>
                <xsd:element ref="ns3:Oppdrags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c5000-3977-4bb9-85fe-95b8458bb4bf"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686a36-9368-4dda-9e9f-a86bde0d326a" elementFormDefault="qualified">
    <xsd:import namespace="http://schemas.microsoft.com/office/2006/documentManagement/types"/>
    <xsd:import namespace="http://schemas.microsoft.com/office/infopath/2007/PartnerControls"/>
    <xsd:element name="Dokumenttype" ma:index="11" ma:displayName="Dokumenttype" ma:default="Oppdragsdokument" ma:internalName="Dokumenttype">
      <xsd:simpleType>
        <xsd:restriction base="dms:Choice">
          <xsd:enumeration value="Oppdragsdokument"/>
          <xsd:enumeration value="Avtale"/>
          <xsd:enumeration value="Kart"/>
          <xsd:enumeration value="Notat"/>
          <xsd:enumeration value="Rapport"/>
          <xsd:enumeration value="Tegning"/>
          <xsd:enumeration value="Tilbud"/>
          <xsd:enumeration value="Brev"/>
          <xsd:enumeration value="Møte"/>
          <xsd:enumeration value="E-post"/>
          <xsd:enumeration value="Sjekkliste"/>
        </xsd:restriction>
      </xsd:simpleType>
    </xsd:element>
    <xsd:element name="Aktivitet" ma:index="12" nillable="true" ma:displayName="Aktivitet" ma:list="{4A005FC5-2181-4245-9789-C7D57B48DB22}" ma:internalName="Aktivitet" ma:showField="Title" ma:web="8f686a36-9368-4dda-9e9f-a86bde0d326a">
      <xsd:simpleType>
        <xsd:restriction base="dms:Lookup"/>
      </xsd:simpleType>
    </xsd:element>
    <xsd:element name="Dokumenttema" ma:index="13" nillable="true" ma:displayName="Dokumenttema" ma:list="{49143DDE-213C-4E8B-A328-CB38FE75E5AB}" ma:internalName="Dokumenttema" ma:showField="Title" ma:web="8f686a36-9368-4dda-9e9f-a86bde0d326a">
      <xsd:simpleType>
        <xsd:restriction base="dms:Lookup"/>
      </xsd:simpleType>
    </xsd:element>
    <xsd:element name="Revisjon" ma:index="14" nillable="true" ma:displayName="Revisjon" ma:internalName="Revisjon">
      <xsd:simpleType>
        <xsd:restriction base="dms:Text">
          <xsd:maxLength value="255"/>
        </xsd:restriction>
      </xsd:simpleType>
    </xsd:element>
    <xsd:element name="RevisjonsDato" ma:index="15" nillable="true" ma:displayName="RevisjonsDato" ma:format="DateOnly" ma:internalName="RevisjonsDato">
      <xsd:simpleType>
        <xsd:restriction base="dms:DateTime"/>
      </xsd:simpleType>
    </xsd:element>
    <xsd:element name="TilTekst" ma:index="16" nillable="true" ma:displayName="Til" ma:internalName="TilTekst">
      <xsd:simpleType>
        <xsd:restriction base="dms:Note">
          <xsd:maxLength value="255"/>
        </xsd:restriction>
      </xsd:simpleType>
    </xsd:element>
    <xsd:element name="FraTekst" ma:index="17" nillable="true" ma:displayName="Fra" ma:internalName="FraTekst">
      <xsd:simpleType>
        <xsd:restriction base="dms:Note">
          <xsd:maxLength value="255"/>
        </xsd:restriction>
      </xsd:simpleType>
    </xsd:element>
    <xsd:element name="KopiTekst" ma:index="18" nillable="true" ma:displayName="Kopi" ma:internalName="KopiTekst">
      <xsd:simpleType>
        <xsd:restriction base="dms:Note">
          <xsd:maxLength value="255"/>
        </xsd:restriction>
      </xsd:simpleType>
    </xsd:element>
    <xsd:element name="SharedWithUsers" ma:index="19"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ppdragsnummer" ma:index="20" nillable="true" ma:displayName="Oppdragsnummer" ma:default="605893-02" ma:internalName="Oppdragsnumm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94fc5000-3977-4bb9-85fe-95b8458bb4bf">605893-383881373-2045</_dlc_DocId>
    <_dlc_DocIdUrl xmlns="94fc5000-3977-4bb9-85fe-95b8458bb4bf">
      <Url>http://bikube/Oppdrag/605893/02/_layouts/15/DocIdRedir.aspx?ID=605893-383881373-2045</Url>
      <Description>605893-383881373-2045</Description>
    </_dlc_DocIdUrl>
    <FraTekst xmlns="8f686a36-9368-4dda-9e9f-a86bde0d326a" xsi:nil="true"/>
    <Revisjon xmlns="8f686a36-9368-4dda-9e9f-a86bde0d326a" xsi:nil="true"/>
    <KopiTekst xmlns="8f686a36-9368-4dda-9e9f-a86bde0d326a" xsi:nil="true"/>
    <Aktivitet xmlns="8f686a36-9368-4dda-9e9f-a86bde0d326a" xsi:nil="true"/>
    <Dokumenttype xmlns="8f686a36-9368-4dda-9e9f-a86bde0d326a">Oppdragsdokument</Dokumenttype>
    <Dokumenttema xmlns="8f686a36-9368-4dda-9e9f-a86bde0d326a" xsi:nil="true"/>
    <TilTekst xmlns="8f686a36-9368-4dda-9e9f-a86bde0d326a" xsi:nil="true"/>
    <RevisjonsDato xmlns="8f686a36-9368-4dda-9e9f-a86bde0d326a" xsi:nil="true"/>
    <Oppdragsnummer xmlns="8f686a36-9368-4dda-9e9f-a86bde0d326a">605893-02</Oppdragsnumm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A4F048-F331-46D8-88A5-DBFFD822F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c5000-3977-4bb9-85fe-95b8458bb4bf"/>
    <ds:schemaRef ds:uri="8f686a36-9368-4dda-9e9f-a86bde0d3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68772-2ABF-4F37-8594-F905212249AD}">
  <ds:schemaRefs>
    <ds:schemaRef ds:uri="8f686a36-9368-4dda-9e9f-a86bde0d326a"/>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94fc5000-3977-4bb9-85fe-95b8458bb4bf"/>
    <ds:schemaRef ds:uri="http://schemas.microsoft.com/office/2006/metadata/properties"/>
  </ds:schemaRefs>
</ds:datastoreItem>
</file>

<file path=customXml/itemProps3.xml><?xml version="1.0" encoding="utf-8"?>
<ds:datastoreItem xmlns:ds="http://schemas.openxmlformats.org/officeDocument/2006/customXml" ds:itemID="{99D2125B-24D9-472D-B56D-38274035C0C9}">
  <ds:schemaRefs>
    <ds:schemaRef ds:uri="http://schemas.microsoft.com/sharepoint/v3/contenttype/forms"/>
  </ds:schemaRefs>
</ds:datastoreItem>
</file>

<file path=customXml/itemProps4.xml><?xml version="1.0" encoding="utf-8"?>
<ds:datastoreItem xmlns:ds="http://schemas.openxmlformats.org/officeDocument/2006/customXml" ds:itemID="{F61DD3A8-8D41-4FD7-A662-C510F7F38AB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761</vt:i4>
      </vt:variant>
    </vt:vector>
  </HeadingPairs>
  <TitlesOfParts>
    <vt:vector size="774" baseType="lpstr">
      <vt:lpstr>Instructions</vt:lpstr>
      <vt:lpstr>Assessment Details</vt:lpstr>
      <vt:lpstr>Pre-Assessment Estimator</vt:lpstr>
      <vt:lpstr>Credit list</vt:lpstr>
      <vt:lpstr>Manuell filtrering og justering</vt:lpstr>
      <vt:lpstr>Poeng</vt:lpstr>
      <vt:lpstr>Summary of Building Performance</vt:lpstr>
      <vt:lpstr>PAE available for copy</vt:lpstr>
      <vt:lpstr>Version Control</vt:lpstr>
      <vt:lpstr>Sheet1</vt:lpstr>
      <vt:lpstr>Sheet2</vt:lpstr>
      <vt:lpstr>Sheet3</vt:lpstr>
      <vt:lpstr>Logg</vt:lpstr>
      <vt:lpstr>_PSc1</vt:lpstr>
      <vt:lpstr>Achieved_const</vt:lpstr>
      <vt:lpstr>Achieved_design</vt:lpstr>
      <vt:lpstr>Achieved_initial</vt:lpstr>
      <vt:lpstr>AD_Add01</vt:lpstr>
      <vt:lpstr>AD_Add02</vt:lpstr>
      <vt:lpstr>AD_Add04</vt:lpstr>
      <vt:lpstr>AD_Architect</vt:lpstr>
      <vt:lpstr>AD_assessor</vt:lpstr>
      <vt:lpstr>AD_Assessor_org</vt:lpstr>
      <vt:lpstr>AD_Banner</vt:lpstr>
      <vt:lpstr>AD_BREEAM_stage</vt:lpstr>
      <vt:lpstr>AD_BREEAM_version</vt:lpstr>
      <vt:lpstr>AD_BREEAMAP</vt:lpstr>
      <vt:lpstr>AD_Buildserve</vt:lpstr>
      <vt:lpstr>AD_Builduser</vt:lpstr>
      <vt:lpstr>AD_catlevel01</vt:lpstr>
      <vt:lpstr>AD_catlevel02</vt:lpstr>
      <vt:lpstr>AD_catlevel03</vt:lpstr>
      <vt:lpstr>AD_client</vt:lpstr>
      <vt:lpstr>AD_Contractor</vt:lpstr>
      <vt:lpstr>AD_Developer</vt:lpstr>
      <vt:lpstr>AD_Energyload</vt:lpstr>
      <vt:lpstr>AD_GIA</vt:lpstr>
      <vt:lpstr>AD_heat</vt:lpstr>
      <vt:lpstr>AD_labcat_list</vt:lpstr>
      <vt:lpstr>AD_Labsize</vt:lpstr>
      <vt:lpstr>AD_Labsize_list</vt:lpstr>
      <vt:lpstr>AD_Labsize01</vt:lpstr>
      <vt:lpstr>AD_Labsize02</vt:lpstr>
      <vt:lpstr>AD_Labsize03</vt:lpstr>
      <vt:lpstr>AD_labsize04</vt:lpstr>
      <vt:lpstr>AD_MultiRes_option01a</vt:lpstr>
      <vt:lpstr>AD_MultiRes_option01b</vt:lpstr>
      <vt:lpstr>AD_Multitenant</vt:lpstr>
      <vt:lpstr>AD_NIFA</vt:lpstr>
      <vt:lpstr>AD_no</vt:lpstr>
      <vt:lpstr>AD_option_na</vt:lpstr>
      <vt:lpstr>AD_Other01</vt:lpstr>
      <vt:lpstr>AD_Other02</vt:lpstr>
      <vt:lpstr>AD_other03</vt:lpstr>
      <vt:lpstr>AD_Other04</vt:lpstr>
      <vt:lpstr>AD_Ozoneleg</vt:lpstr>
      <vt:lpstr>AD_p_zone0</vt:lpstr>
      <vt:lpstr>AD_p_zone1</vt:lpstr>
      <vt:lpstr>AD_P_zone2</vt:lpstr>
      <vt:lpstr>AD_P_Zone3</vt:lpstr>
      <vt:lpstr>AD_Projman</vt:lpstr>
      <vt:lpstr>AD_ref</vt:lpstr>
      <vt:lpstr>AD_refrig</vt:lpstr>
      <vt:lpstr>AD_stage_list</vt:lpstr>
      <vt:lpstr>AD_Statement04</vt:lpstr>
      <vt:lpstr>AD_statement05</vt:lpstr>
      <vt:lpstr>AD_statement06</vt:lpstr>
      <vt:lpstr>AD_tra01type</vt:lpstr>
      <vt:lpstr>AD_Trans</vt:lpstr>
      <vt:lpstr>AD_type_list</vt:lpstr>
      <vt:lpstr>AD_version</vt:lpstr>
      <vt:lpstr>AD_Yes</vt:lpstr>
      <vt:lpstr>AD_YesNo</vt:lpstr>
      <vt:lpstr>AD_YesNo_list</vt:lpstr>
      <vt:lpstr>ADAS0</vt:lpstr>
      <vt:lpstr>ADAS01</vt:lpstr>
      <vt:lpstr>ADAS02</vt:lpstr>
      <vt:lpstr>ADBN</vt:lpstr>
      <vt:lpstr>ADBT_sub02</vt:lpstr>
      <vt:lpstr>ADBT_sub03</vt:lpstr>
      <vt:lpstr>ADBT_sub04</vt:lpstr>
      <vt:lpstr>ADBT_sub05</vt:lpstr>
      <vt:lpstr>ADBT_sub06</vt:lpstr>
      <vt:lpstr>ADBT_sub07</vt:lpstr>
      <vt:lpstr>ADBT_sub08</vt:lpstr>
      <vt:lpstr>ADBT_sub09</vt:lpstr>
      <vt:lpstr>ADBT_sub10</vt:lpstr>
      <vt:lpstr>ADBT_sub11</vt:lpstr>
      <vt:lpstr>ADBT_sub12</vt:lpstr>
      <vt:lpstr>ADBT_sub13</vt:lpstr>
      <vt:lpstr>ADBT_sub14</vt:lpstr>
      <vt:lpstr>ADBT_sub15</vt:lpstr>
      <vt:lpstr>ADBT_sub16</vt:lpstr>
      <vt:lpstr>ADBT_sub17</vt:lpstr>
      <vt:lpstr>ADBT0</vt:lpstr>
      <vt:lpstr>ADBT1</vt:lpstr>
      <vt:lpstr>ADBT12</vt:lpstr>
      <vt:lpstr>ADBT13</vt:lpstr>
      <vt:lpstr>ADBT14</vt:lpstr>
      <vt:lpstr>ADBT15</vt:lpstr>
      <vt:lpstr>ADBT16</vt:lpstr>
      <vt:lpstr>ADBT17</vt:lpstr>
      <vt:lpstr>ADBT18</vt:lpstr>
      <vt:lpstr>ADBT19</vt:lpstr>
      <vt:lpstr>ADBT2</vt:lpstr>
      <vt:lpstr>ADBT20</vt:lpstr>
      <vt:lpstr>ADBT3</vt:lpstr>
      <vt:lpstr>ADBT8</vt:lpstr>
      <vt:lpstr>ADBT9</vt:lpstr>
      <vt:lpstr>ADFume_option01</vt:lpstr>
      <vt:lpstr>ADIND_option02</vt:lpstr>
      <vt:lpstr>ADIND_option02n</vt:lpstr>
      <vt:lpstr>ADIND_option03</vt:lpstr>
      <vt:lpstr>ADPT</vt:lpstr>
      <vt:lpstr>ADPT01</vt:lpstr>
      <vt:lpstr>ADPT02</vt:lpstr>
      <vt:lpstr>ADPT03</vt:lpstr>
      <vt:lpstr>ADPT04</vt:lpstr>
      <vt:lpstr>ais_ja</vt:lpstr>
      <vt:lpstr>AIS_NA</vt:lpstr>
      <vt:lpstr>ais_nei</vt:lpstr>
      <vt:lpstr>AIS_statement29</vt:lpstr>
      <vt:lpstr>BP_01</vt:lpstr>
      <vt:lpstr>BP_02</vt:lpstr>
      <vt:lpstr>BP_03</vt:lpstr>
      <vt:lpstr>BP_04</vt:lpstr>
      <vt:lpstr>BP_05</vt:lpstr>
      <vt:lpstr>BP_06</vt:lpstr>
      <vt:lpstr>BP_07</vt:lpstr>
      <vt:lpstr>BP_08</vt:lpstr>
      <vt:lpstr>BP_09</vt:lpstr>
      <vt:lpstr>BP_10</vt:lpstr>
      <vt:lpstr>BP_11</vt:lpstr>
      <vt:lpstr>BP_12</vt:lpstr>
      <vt:lpstr>BP_13</vt:lpstr>
      <vt:lpstr>BP_14</vt:lpstr>
      <vt:lpstr>BP_15</vt:lpstr>
      <vt:lpstr>BP_16</vt:lpstr>
      <vt:lpstr>BP_18</vt:lpstr>
      <vt:lpstr>BP_19</vt:lpstr>
      <vt:lpstr>BP_20</vt:lpstr>
      <vt:lpstr>BP_21</vt:lpstr>
      <vt:lpstr>BP_22</vt:lpstr>
      <vt:lpstr>BP_23</vt:lpstr>
      <vt:lpstr>BP_24</vt:lpstr>
      <vt:lpstr>BP_25</vt:lpstr>
      <vt:lpstr>BP_26</vt:lpstr>
      <vt:lpstr>BP_27</vt:lpstr>
      <vt:lpstr>BP_28</vt:lpstr>
      <vt:lpstr>BP_29</vt:lpstr>
      <vt:lpstr>BP_30</vt:lpstr>
      <vt:lpstr>BP_31</vt:lpstr>
      <vt:lpstr>BP_BREEAMRating</vt:lpstr>
      <vt:lpstr>BP_Energy_score</vt:lpstr>
      <vt:lpstr>BP_Innovation_score</vt:lpstr>
      <vt:lpstr>BP_LUE_score</vt:lpstr>
      <vt:lpstr>BP_Man_score</vt:lpstr>
      <vt:lpstr>BP_Materials_score</vt:lpstr>
      <vt:lpstr>BP_MinStandards</vt:lpstr>
      <vt:lpstr>BP_MinStandards_const</vt:lpstr>
      <vt:lpstr>BP_MinStandards_design</vt:lpstr>
      <vt:lpstr>BP_Trans_score</vt:lpstr>
      <vt:lpstr>BP_Waste_Score</vt:lpstr>
      <vt:lpstr>BP_Water_score</vt:lpstr>
      <vt:lpstr>'PAE available for copy'!BRK_Banner</vt:lpstr>
      <vt:lpstr>BRK_Banner</vt:lpstr>
      <vt:lpstr>Ene_01</vt:lpstr>
      <vt:lpstr>Ene_02</vt:lpstr>
      <vt:lpstr>Ene_03</vt:lpstr>
      <vt:lpstr>Ene_04</vt:lpstr>
      <vt:lpstr>Ene_05</vt:lpstr>
      <vt:lpstr>Ene_06</vt:lpstr>
      <vt:lpstr>Ene_07</vt:lpstr>
      <vt:lpstr>Ene_08</vt:lpstr>
      <vt:lpstr>Ene_09</vt:lpstr>
      <vt:lpstr>Ene_23</vt:lpstr>
      <vt:lpstr>Ene_c_user</vt:lpstr>
      <vt:lpstr>Ene_cont_tot</vt:lpstr>
      <vt:lpstr>Ene_Credits</vt:lpstr>
      <vt:lpstr>Ene_d_user</vt:lpstr>
      <vt:lpstr>Ene_tot_user</vt:lpstr>
      <vt:lpstr>Ene_Weight</vt:lpstr>
      <vt:lpstr>Ene01_27</vt:lpstr>
      <vt:lpstr>Ene01_28</vt:lpstr>
      <vt:lpstr>Ene01_41</vt:lpstr>
      <vt:lpstr>Ene01_42</vt:lpstr>
      <vt:lpstr>Ene01_credits</vt:lpstr>
      <vt:lpstr>Ene01_Crit1</vt:lpstr>
      <vt:lpstr>Ene01_Crit1_credits</vt:lpstr>
      <vt:lpstr>Ene01_minstd</vt:lpstr>
      <vt:lpstr>Ene01_tot</vt:lpstr>
      <vt:lpstr>Ene01_user</vt:lpstr>
      <vt:lpstr>Ene02_10</vt:lpstr>
      <vt:lpstr>Ene02_11</vt:lpstr>
      <vt:lpstr>Ene02_12</vt:lpstr>
      <vt:lpstr>Ene02_13</vt:lpstr>
      <vt:lpstr>Ene02_credits</vt:lpstr>
      <vt:lpstr>Ene02_tot</vt:lpstr>
      <vt:lpstr>Ene02_user</vt:lpstr>
      <vt:lpstr>Ene03_05</vt:lpstr>
      <vt:lpstr>Ene03_06</vt:lpstr>
      <vt:lpstr>Ene03_credits</vt:lpstr>
      <vt:lpstr>Ene03_minstd</vt:lpstr>
      <vt:lpstr>Ene03_user</vt:lpstr>
      <vt:lpstr>Ene04_15</vt:lpstr>
      <vt:lpstr>Ene04_16</vt:lpstr>
      <vt:lpstr>Ene04_19</vt:lpstr>
      <vt:lpstr>Ene04_20</vt:lpstr>
      <vt:lpstr>Ene04_credits</vt:lpstr>
      <vt:lpstr>Ene04_tot</vt:lpstr>
      <vt:lpstr>Ene04_user</vt:lpstr>
      <vt:lpstr>Ene05_14</vt:lpstr>
      <vt:lpstr>Ene05_15</vt:lpstr>
      <vt:lpstr>Ene05_20</vt:lpstr>
      <vt:lpstr>Ene05_21</vt:lpstr>
      <vt:lpstr>Ene05_credits</vt:lpstr>
      <vt:lpstr>Ene05_tot</vt:lpstr>
      <vt:lpstr>Ene05_user</vt:lpstr>
      <vt:lpstr>Ene06_11</vt:lpstr>
      <vt:lpstr>Ene06_12</vt:lpstr>
      <vt:lpstr>Ene06_credits</vt:lpstr>
      <vt:lpstr>Ene06_minstd</vt:lpstr>
      <vt:lpstr>Ene06_tot</vt:lpstr>
      <vt:lpstr>Ene06_user</vt:lpstr>
      <vt:lpstr>Ene07_24</vt:lpstr>
      <vt:lpstr>Ene07_25</vt:lpstr>
      <vt:lpstr>Ene07_credits</vt:lpstr>
      <vt:lpstr>Ene07_minstd</vt:lpstr>
      <vt:lpstr>Ene07_tot</vt:lpstr>
      <vt:lpstr>Ene07_user</vt:lpstr>
      <vt:lpstr>Ene08_27</vt:lpstr>
      <vt:lpstr>Ene08_29</vt:lpstr>
      <vt:lpstr>Ene08_credits</vt:lpstr>
      <vt:lpstr>Ene08_minstd</vt:lpstr>
      <vt:lpstr>Ene08_tot</vt:lpstr>
      <vt:lpstr>Ene08_user</vt:lpstr>
      <vt:lpstr>Ene09_07</vt:lpstr>
      <vt:lpstr>Ene09_10</vt:lpstr>
      <vt:lpstr>Ene09_credits</vt:lpstr>
      <vt:lpstr>Ene09_minstd</vt:lpstr>
      <vt:lpstr>Ene09_tot</vt:lpstr>
      <vt:lpstr>Ene09_user</vt:lpstr>
      <vt:lpstr>Ene23_cont</vt:lpstr>
      <vt:lpstr>Ene23_credits</vt:lpstr>
      <vt:lpstr>Ene23_minstd</vt:lpstr>
      <vt:lpstr>Ene23_user</vt:lpstr>
      <vt:lpstr>Hea_01</vt:lpstr>
      <vt:lpstr>Hea_02</vt:lpstr>
      <vt:lpstr>Hea_03</vt:lpstr>
      <vt:lpstr>Hea_04</vt:lpstr>
      <vt:lpstr>Hea_05</vt:lpstr>
      <vt:lpstr>Hea_06</vt:lpstr>
      <vt:lpstr>Hea_07</vt:lpstr>
      <vt:lpstr>Hea_08</vt:lpstr>
      <vt:lpstr>Hea_09</vt:lpstr>
      <vt:lpstr>Hea_cont_tot</vt:lpstr>
      <vt:lpstr>Hea_Credits</vt:lpstr>
      <vt:lpstr>Hea_Weight</vt:lpstr>
      <vt:lpstr>Hea01_26</vt:lpstr>
      <vt:lpstr>Hea01_27</vt:lpstr>
      <vt:lpstr>Hea01_credits</vt:lpstr>
      <vt:lpstr>Hea01_minstd</vt:lpstr>
      <vt:lpstr>Hea01_user</vt:lpstr>
      <vt:lpstr>Hea02_25</vt:lpstr>
      <vt:lpstr>Hea02_26</vt:lpstr>
      <vt:lpstr>Hea02_credits</vt:lpstr>
      <vt:lpstr>Hea02_Crit1</vt:lpstr>
      <vt:lpstr>Hea02_Crit1_cont</vt:lpstr>
      <vt:lpstr>Hea02_Crit1_credits</vt:lpstr>
      <vt:lpstr>Hea02_minst_crit</vt:lpstr>
      <vt:lpstr>Hea02_minstd</vt:lpstr>
      <vt:lpstr>Hea02_tot</vt:lpstr>
      <vt:lpstr>Hea02_user</vt:lpstr>
      <vt:lpstr>Hea03_09</vt:lpstr>
      <vt:lpstr>Hea03_10</vt:lpstr>
      <vt:lpstr>Hea03_11</vt:lpstr>
      <vt:lpstr>Hea03_contr</vt:lpstr>
      <vt:lpstr>Hea03_credits</vt:lpstr>
      <vt:lpstr>Hea03_tot</vt:lpstr>
      <vt:lpstr>Hea03_user</vt:lpstr>
      <vt:lpstr>Hea04_10</vt:lpstr>
      <vt:lpstr>Hea04_11</vt:lpstr>
      <vt:lpstr>Hea04_12</vt:lpstr>
      <vt:lpstr>Hea04_13</vt:lpstr>
      <vt:lpstr>Hea04_credits</vt:lpstr>
      <vt:lpstr>Hea04_tot</vt:lpstr>
      <vt:lpstr>Hea04_user</vt:lpstr>
      <vt:lpstr>Hea05_07</vt:lpstr>
      <vt:lpstr>Hea05_08</vt:lpstr>
      <vt:lpstr>Hea05_credits</vt:lpstr>
      <vt:lpstr>Hea05_minstd</vt:lpstr>
      <vt:lpstr>Hea05_tot</vt:lpstr>
      <vt:lpstr>Hea05_user</vt:lpstr>
      <vt:lpstr>Hea06_07</vt:lpstr>
      <vt:lpstr>Hea06_contr</vt:lpstr>
      <vt:lpstr>Hea06_credits</vt:lpstr>
      <vt:lpstr>Hea06_minstd</vt:lpstr>
      <vt:lpstr>Hea06_tot</vt:lpstr>
      <vt:lpstr>Hea06_user</vt:lpstr>
      <vt:lpstr>Hea07_07</vt:lpstr>
      <vt:lpstr>Hea07_contr</vt:lpstr>
      <vt:lpstr>Hea07_Credits</vt:lpstr>
      <vt:lpstr>Hea07_minstd</vt:lpstr>
      <vt:lpstr>Hea07_Tot</vt:lpstr>
      <vt:lpstr>Hea07_user</vt:lpstr>
      <vt:lpstr>Hea08_07</vt:lpstr>
      <vt:lpstr>Hea08_contr</vt:lpstr>
      <vt:lpstr>Hea08_Credits</vt:lpstr>
      <vt:lpstr>Hea08_minstd</vt:lpstr>
      <vt:lpstr>Hea08_tot</vt:lpstr>
      <vt:lpstr>Hea08_user</vt:lpstr>
      <vt:lpstr>Hea09_cont</vt:lpstr>
      <vt:lpstr>Hea09_Credits</vt:lpstr>
      <vt:lpstr>Hea09_minstd</vt:lpstr>
      <vt:lpstr>Hea09_user</vt:lpstr>
      <vt:lpstr>'PAE available for copy'!HUG</vt:lpstr>
      <vt:lpstr>HUG</vt:lpstr>
      <vt:lpstr>HW_c_user</vt:lpstr>
      <vt:lpstr>HW_d_user</vt:lpstr>
      <vt:lpstr>HW_tot_user</vt:lpstr>
      <vt:lpstr>Inn_01</vt:lpstr>
      <vt:lpstr>Inn_02</vt:lpstr>
      <vt:lpstr>Inn_03</vt:lpstr>
      <vt:lpstr>Inn_04</vt:lpstr>
      <vt:lpstr>Inn_05</vt:lpstr>
      <vt:lpstr>Inn_06</vt:lpstr>
      <vt:lpstr>Inn_07</vt:lpstr>
      <vt:lpstr>Inn_08</vt:lpstr>
      <vt:lpstr>Inn_09</vt:lpstr>
      <vt:lpstr>Inn_10</vt:lpstr>
      <vt:lpstr>Inn_11</vt:lpstr>
      <vt:lpstr>Inn_12</vt:lpstr>
      <vt:lpstr>Inn_13</vt:lpstr>
      <vt:lpstr>Inn_c_user</vt:lpstr>
      <vt:lpstr>Inn_cont_tot</vt:lpstr>
      <vt:lpstr>Inn_Credits</vt:lpstr>
      <vt:lpstr>Inn_d_user</vt:lpstr>
      <vt:lpstr>Inn_tot_user</vt:lpstr>
      <vt:lpstr>Inn_Weight</vt:lpstr>
      <vt:lpstr>Inn01_cont</vt:lpstr>
      <vt:lpstr>Inn01_credits</vt:lpstr>
      <vt:lpstr>Inn01_minstd</vt:lpstr>
      <vt:lpstr>Inn01_user</vt:lpstr>
      <vt:lpstr>Inn02_cont</vt:lpstr>
      <vt:lpstr>Inn02_credits</vt:lpstr>
      <vt:lpstr>Inn02_minstd</vt:lpstr>
      <vt:lpstr>Inn02_user</vt:lpstr>
      <vt:lpstr>Inn03_cont</vt:lpstr>
      <vt:lpstr>Inn03_credits</vt:lpstr>
      <vt:lpstr>Inn03_minstd</vt:lpstr>
      <vt:lpstr>Inn03_user</vt:lpstr>
      <vt:lpstr>Inn04_cont</vt:lpstr>
      <vt:lpstr>Inn04_credits</vt:lpstr>
      <vt:lpstr>Inn04_minstd</vt:lpstr>
      <vt:lpstr>Inn04_user</vt:lpstr>
      <vt:lpstr>Inn05_cont</vt:lpstr>
      <vt:lpstr>Inn05_credits</vt:lpstr>
      <vt:lpstr>Inn05_minstd</vt:lpstr>
      <vt:lpstr>Inn05_user</vt:lpstr>
      <vt:lpstr>Inn06_cont</vt:lpstr>
      <vt:lpstr>Inn06_credits</vt:lpstr>
      <vt:lpstr>Inn06_minstd</vt:lpstr>
      <vt:lpstr>Inn06_user</vt:lpstr>
      <vt:lpstr>Inn07_cont</vt:lpstr>
      <vt:lpstr>Inn07_credits</vt:lpstr>
      <vt:lpstr>Inn07_minstd</vt:lpstr>
      <vt:lpstr>Inn07_user</vt:lpstr>
      <vt:lpstr>Inn08_cont</vt:lpstr>
      <vt:lpstr>Inn08_credits</vt:lpstr>
      <vt:lpstr>Inn08_minstd</vt:lpstr>
      <vt:lpstr>Inn08_user</vt:lpstr>
      <vt:lpstr>Inn09_cont</vt:lpstr>
      <vt:lpstr>Inn09_credits</vt:lpstr>
      <vt:lpstr>Inn09_minstd</vt:lpstr>
      <vt:lpstr>Inn09_user</vt:lpstr>
      <vt:lpstr>Inn10_cont</vt:lpstr>
      <vt:lpstr>Inn10_credits</vt:lpstr>
      <vt:lpstr>Inn10_minstd</vt:lpstr>
      <vt:lpstr>Inn10_user</vt:lpstr>
      <vt:lpstr>Inn11_cont</vt:lpstr>
      <vt:lpstr>Inn11_credits</vt:lpstr>
      <vt:lpstr>Inn11_minstd</vt:lpstr>
      <vt:lpstr>Inn11_user</vt:lpstr>
      <vt:lpstr>Inn12_cont</vt:lpstr>
      <vt:lpstr>Inn12_credits</vt:lpstr>
      <vt:lpstr>Inn12_minstd</vt:lpstr>
      <vt:lpstr>Inn12_user</vt:lpstr>
      <vt:lpstr>Inn13_cont</vt:lpstr>
      <vt:lpstr>Inn13_credits</vt:lpstr>
      <vt:lpstr>Inn13_minstd</vt:lpstr>
      <vt:lpstr>Inn13_user</vt:lpstr>
      <vt:lpstr>janei</vt:lpstr>
      <vt:lpstr>LE_01</vt:lpstr>
      <vt:lpstr>LE_02</vt:lpstr>
      <vt:lpstr>LE_03</vt:lpstr>
      <vt:lpstr>LE_04</vt:lpstr>
      <vt:lpstr>LE_05</vt:lpstr>
      <vt:lpstr>LE_06</vt:lpstr>
      <vt:lpstr>LE_07</vt:lpstr>
      <vt:lpstr>LE_08</vt:lpstr>
      <vt:lpstr>LE_cont_tot</vt:lpstr>
      <vt:lpstr>LE_Credits</vt:lpstr>
      <vt:lpstr>LE_Weight</vt:lpstr>
      <vt:lpstr>LE01_07</vt:lpstr>
      <vt:lpstr>LE01_08</vt:lpstr>
      <vt:lpstr>LE01_credits</vt:lpstr>
      <vt:lpstr>LE01_minstd</vt:lpstr>
      <vt:lpstr>LE01_tot</vt:lpstr>
      <vt:lpstr>LE01_user</vt:lpstr>
      <vt:lpstr>LE02_07</vt:lpstr>
      <vt:lpstr>LE02_08</vt:lpstr>
      <vt:lpstr>LE02_credits</vt:lpstr>
      <vt:lpstr>LE02_minstd</vt:lpstr>
      <vt:lpstr>LE02_tot</vt:lpstr>
      <vt:lpstr>LE02_user</vt:lpstr>
      <vt:lpstr>LE03_07</vt:lpstr>
      <vt:lpstr>LE03_cont</vt:lpstr>
      <vt:lpstr>LE03_credits</vt:lpstr>
      <vt:lpstr>LE03_minstd</vt:lpstr>
      <vt:lpstr>LE03_user</vt:lpstr>
      <vt:lpstr>LE04_13</vt:lpstr>
      <vt:lpstr>LE04_14</vt:lpstr>
      <vt:lpstr>LE04_credits</vt:lpstr>
      <vt:lpstr>LE04_minstd</vt:lpstr>
      <vt:lpstr>LE04_tot</vt:lpstr>
      <vt:lpstr>LE04_user</vt:lpstr>
      <vt:lpstr>LE05_14</vt:lpstr>
      <vt:lpstr>LE05_15</vt:lpstr>
      <vt:lpstr>LE05_credits</vt:lpstr>
      <vt:lpstr>LE05_minstd</vt:lpstr>
      <vt:lpstr>LE05_minstdach</vt:lpstr>
      <vt:lpstr>LE05_tot</vt:lpstr>
      <vt:lpstr>LE05_user</vt:lpstr>
      <vt:lpstr>LE06_07</vt:lpstr>
      <vt:lpstr>LE06_contr</vt:lpstr>
      <vt:lpstr>LE06_credits</vt:lpstr>
      <vt:lpstr>LE06_minstd</vt:lpstr>
      <vt:lpstr>LE06_tot</vt:lpstr>
      <vt:lpstr>LE06_user</vt:lpstr>
      <vt:lpstr>LE07_07</vt:lpstr>
      <vt:lpstr>LE07_cont</vt:lpstr>
      <vt:lpstr>LE07_credits</vt:lpstr>
      <vt:lpstr>LE07_minstd</vt:lpstr>
      <vt:lpstr>LE07_user</vt:lpstr>
      <vt:lpstr>LE08_07</vt:lpstr>
      <vt:lpstr>LE08_cont</vt:lpstr>
      <vt:lpstr>LE08_credits</vt:lpstr>
      <vt:lpstr>LE08_minstd</vt:lpstr>
      <vt:lpstr>LE08_user</vt:lpstr>
      <vt:lpstr>Lue_c_user</vt:lpstr>
      <vt:lpstr>Lue_d_user</vt:lpstr>
      <vt:lpstr>Lue_tot_user</vt:lpstr>
      <vt:lpstr>Man_01</vt:lpstr>
      <vt:lpstr>Man_02</vt:lpstr>
      <vt:lpstr>Man_03</vt:lpstr>
      <vt:lpstr>Man_04</vt:lpstr>
      <vt:lpstr>Man_05</vt:lpstr>
      <vt:lpstr>Man_06</vt:lpstr>
      <vt:lpstr>Man_07</vt:lpstr>
      <vt:lpstr>Man_c_user</vt:lpstr>
      <vt:lpstr>Man_cont_tot</vt:lpstr>
      <vt:lpstr>Man_Credits</vt:lpstr>
      <vt:lpstr>Man_d_user</vt:lpstr>
      <vt:lpstr>Man_tot_user</vt:lpstr>
      <vt:lpstr>Man_Weight</vt:lpstr>
      <vt:lpstr>Man01_37</vt:lpstr>
      <vt:lpstr>Man01_38</vt:lpstr>
      <vt:lpstr>Man01_39</vt:lpstr>
      <vt:lpstr>Man01_credits</vt:lpstr>
      <vt:lpstr>Man01_Crit1</vt:lpstr>
      <vt:lpstr>Man01_Crit1_cont</vt:lpstr>
      <vt:lpstr>Man01_Crit1_credits</vt:lpstr>
      <vt:lpstr>Man01_Exemp</vt:lpstr>
      <vt:lpstr>Man01_minstd</vt:lpstr>
      <vt:lpstr>Man01_Tot</vt:lpstr>
      <vt:lpstr>Man01_user</vt:lpstr>
      <vt:lpstr>Man02_11</vt:lpstr>
      <vt:lpstr>Man02_12</vt:lpstr>
      <vt:lpstr>Man02_credits</vt:lpstr>
      <vt:lpstr>Man02_Exempl</vt:lpstr>
      <vt:lpstr>Man02_minstd</vt:lpstr>
      <vt:lpstr>Man02_Tot</vt:lpstr>
      <vt:lpstr>Man02_user</vt:lpstr>
      <vt:lpstr>Man03_12</vt:lpstr>
      <vt:lpstr>Man03_18</vt:lpstr>
      <vt:lpstr>Man03_credits</vt:lpstr>
      <vt:lpstr>Man03_Crit1</vt:lpstr>
      <vt:lpstr>Man03_Crit1_credits</vt:lpstr>
      <vt:lpstr>Man03_minstd</vt:lpstr>
      <vt:lpstr>Man03_minstd_cri</vt:lpstr>
      <vt:lpstr>Man03_Tot</vt:lpstr>
      <vt:lpstr>Man03_user</vt:lpstr>
      <vt:lpstr>Man04_17</vt:lpstr>
      <vt:lpstr>Man04_cont</vt:lpstr>
      <vt:lpstr>Man04_credits</vt:lpstr>
      <vt:lpstr>Man04_Crit1</vt:lpstr>
      <vt:lpstr>Man04_Crit1_credits</vt:lpstr>
      <vt:lpstr>Man04_minstd</vt:lpstr>
      <vt:lpstr>Man04_minstd_cri</vt:lpstr>
      <vt:lpstr>Man04_tot</vt:lpstr>
      <vt:lpstr>Man04_user</vt:lpstr>
      <vt:lpstr>Man05_10</vt:lpstr>
      <vt:lpstr>Man05_cont</vt:lpstr>
      <vt:lpstr>Man05_credits</vt:lpstr>
      <vt:lpstr>Man05_Crit1</vt:lpstr>
      <vt:lpstr>Man05_Crit1_credits</vt:lpstr>
      <vt:lpstr>Man05_minstd</vt:lpstr>
      <vt:lpstr>Man05_minstd_cri</vt:lpstr>
      <vt:lpstr>Man05_tot</vt:lpstr>
      <vt:lpstr>Man05_user</vt:lpstr>
      <vt:lpstr>Man06_cont</vt:lpstr>
      <vt:lpstr>Man06_credits</vt:lpstr>
      <vt:lpstr>Man06_minstd</vt:lpstr>
      <vt:lpstr>Man06_user</vt:lpstr>
      <vt:lpstr>Man07_cont</vt:lpstr>
      <vt:lpstr>Man07_credits</vt:lpstr>
      <vt:lpstr>Man07_minstd</vt:lpstr>
      <vt:lpstr>Man07_user</vt:lpstr>
      <vt:lpstr>Mat_01</vt:lpstr>
      <vt:lpstr>Mat_02</vt:lpstr>
      <vt:lpstr>Mat_03</vt:lpstr>
      <vt:lpstr>Mat_05</vt:lpstr>
      <vt:lpstr>Mat_06</vt:lpstr>
      <vt:lpstr>Mat_07</vt:lpstr>
      <vt:lpstr>Mat_c_user</vt:lpstr>
      <vt:lpstr>Mat_cont_tot</vt:lpstr>
      <vt:lpstr>Mat_Credits</vt:lpstr>
      <vt:lpstr>Mat_d_user</vt:lpstr>
      <vt:lpstr>Mat_tot_user</vt:lpstr>
      <vt:lpstr>Mat_Weight</vt:lpstr>
      <vt:lpstr>Mat01_08</vt:lpstr>
      <vt:lpstr>Mat01_27</vt:lpstr>
      <vt:lpstr>Mat01_28</vt:lpstr>
      <vt:lpstr>Mat01_credits</vt:lpstr>
      <vt:lpstr>Mat01_Crit1</vt:lpstr>
      <vt:lpstr>Mat01_Crit1_credits</vt:lpstr>
      <vt:lpstr>Mat01_minstd</vt:lpstr>
      <vt:lpstr>Mat01_minstd2</vt:lpstr>
      <vt:lpstr>Mat01_tot</vt:lpstr>
      <vt:lpstr>Mat01_user</vt:lpstr>
      <vt:lpstr>Mat02_37</vt:lpstr>
      <vt:lpstr>Mat02_cont</vt:lpstr>
      <vt:lpstr>Mat02_credits</vt:lpstr>
      <vt:lpstr>Mat02_Crit1</vt:lpstr>
      <vt:lpstr>Mat02_Crit1_cont</vt:lpstr>
      <vt:lpstr>Mat02_Crit1_credits</vt:lpstr>
      <vt:lpstr>Mat02_minstd</vt:lpstr>
      <vt:lpstr>Mat02_minstd2</vt:lpstr>
      <vt:lpstr>Mat02_user</vt:lpstr>
      <vt:lpstr>Mat03_35</vt:lpstr>
      <vt:lpstr>Mat03_36</vt:lpstr>
      <vt:lpstr>Mat03_37</vt:lpstr>
      <vt:lpstr>Mat03_38</vt:lpstr>
      <vt:lpstr>Mat03_credits</vt:lpstr>
      <vt:lpstr>Mat03_Crit1</vt:lpstr>
      <vt:lpstr>Mat03_Crit1_cont</vt:lpstr>
      <vt:lpstr>Mat03_Crit1_credits</vt:lpstr>
      <vt:lpstr>Mat03_minstd</vt:lpstr>
      <vt:lpstr>Mat03_tot</vt:lpstr>
      <vt:lpstr>Mat03_user</vt:lpstr>
      <vt:lpstr>Mat05_05</vt:lpstr>
      <vt:lpstr>Mat05_06</vt:lpstr>
      <vt:lpstr>Mat05_credits</vt:lpstr>
      <vt:lpstr>Mat05_minstd</vt:lpstr>
      <vt:lpstr>Mat05_tot</vt:lpstr>
      <vt:lpstr>Mat05_user</vt:lpstr>
      <vt:lpstr>Mat06_05</vt:lpstr>
      <vt:lpstr>Mat06_cont</vt:lpstr>
      <vt:lpstr>Mat06_credits</vt:lpstr>
      <vt:lpstr>Mat06_Crit1</vt:lpstr>
      <vt:lpstr>Mat06_Crit1_credits</vt:lpstr>
      <vt:lpstr>Mat06_minstd</vt:lpstr>
      <vt:lpstr>Mat06_minstd_cred</vt:lpstr>
      <vt:lpstr>Mat06_user</vt:lpstr>
      <vt:lpstr>Mat07_05</vt:lpstr>
      <vt:lpstr>Mat07_cont</vt:lpstr>
      <vt:lpstr>Mat07_credits</vt:lpstr>
      <vt:lpstr>Mat07_Crit1</vt:lpstr>
      <vt:lpstr>Mat07_Crit1_credits</vt:lpstr>
      <vt:lpstr>Mat07_minstd</vt:lpstr>
      <vt:lpstr>Mat07_minstd_cred</vt:lpstr>
      <vt:lpstr>Mat07_user</vt:lpstr>
      <vt:lpstr>Note_minstand</vt:lpstr>
      <vt:lpstr>Note_minstand_const</vt:lpstr>
      <vt:lpstr>Note_minstand_design</vt:lpstr>
      <vt:lpstr>Poeng_bort</vt:lpstr>
      <vt:lpstr>Poeng_tilgj</vt:lpstr>
      <vt:lpstr>Poeng_tot</vt:lpstr>
      <vt:lpstr>Pol_01</vt:lpstr>
      <vt:lpstr>Pol_02</vt:lpstr>
      <vt:lpstr>Pol_03</vt:lpstr>
      <vt:lpstr>Pol_04</vt:lpstr>
      <vt:lpstr>Pol_05</vt:lpstr>
      <vt:lpstr>Pol_c_user</vt:lpstr>
      <vt:lpstr>Pol_cont_tot</vt:lpstr>
      <vt:lpstr>Pol_Credits</vt:lpstr>
      <vt:lpstr>Pol_d_user</vt:lpstr>
      <vt:lpstr>Pol_tot_user</vt:lpstr>
      <vt:lpstr>Pol_Weight</vt:lpstr>
      <vt:lpstr>Pol01_19</vt:lpstr>
      <vt:lpstr>Pol01_20</vt:lpstr>
      <vt:lpstr>Pol01_credits</vt:lpstr>
      <vt:lpstr>Pol01_minstd</vt:lpstr>
      <vt:lpstr>Pol01_tot</vt:lpstr>
      <vt:lpstr>Pol01_user</vt:lpstr>
      <vt:lpstr>Pol02_26</vt:lpstr>
      <vt:lpstr>Pol02_27</vt:lpstr>
      <vt:lpstr>Pol02_credits</vt:lpstr>
      <vt:lpstr>Pol02_minstd</vt:lpstr>
      <vt:lpstr>Pol02_tot</vt:lpstr>
      <vt:lpstr>Pol02_user</vt:lpstr>
      <vt:lpstr>Pol03_14</vt:lpstr>
      <vt:lpstr>Pol03_15</vt:lpstr>
      <vt:lpstr>Pol03_credits</vt:lpstr>
      <vt:lpstr>Pol03_minstd</vt:lpstr>
      <vt:lpstr>Pol03_tot</vt:lpstr>
      <vt:lpstr>Pol03_user</vt:lpstr>
      <vt:lpstr>Pol04_05</vt:lpstr>
      <vt:lpstr>Pol04_06</vt:lpstr>
      <vt:lpstr>Pol04_credits</vt:lpstr>
      <vt:lpstr>Pol04_minstd</vt:lpstr>
      <vt:lpstr>Pol04_tot</vt:lpstr>
      <vt:lpstr>Pol04_user</vt:lpstr>
      <vt:lpstr>Pol05_10</vt:lpstr>
      <vt:lpstr>Pol05_11</vt:lpstr>
      <vt:lpstr>Pol05_credits</vt:lpstr>
      <vt:lpstr>Pol05_minstd</vt:lpstr>
      <vt:lpstr>Pol05_tot</vt:lpstr>
      <vt:lpstr>Pol05_user</vt:lpstr>
      <vt:lpstr>'Assessment Details'!Print_Area</vt:lpstr>
      <vt:lpstr>Instructions!Print_Area</vt:lpstr>
      <vt:lpstr>'PAE available for copy'!Print_Area</vt:lpstr>
      <vt:lpstr>'Pre-Assessment Estimator'!Print_Area</vt:lpstr>
      <vt:lpstr>'Summary of Building Performance'!Print_Area</vt:lpstr>
      <vt:lpstr>'Version Control'!Print_Area</vt:lpstr>
      <vt:lpstr>'PAE available for copy'!Print_Titles</vt:lpstr>
      <vt:lpstr>'Pre-Assessment Estimator'!Print_Titles</vt:lpstr>
      <vt:lpstr>projecttype</vt:lpstr>
      <vt:lpstr>Score_const</vt:lpstr>
      <vt:lpstr>Score_design</vt:lpstr>
      <vt:lpstr>Score_Initial</vt:lpstr>
      <vt:lpstr>status</vt:lpstr>
      <vt:lpstr>Tra_01</vt:lpstr>
      <vt:lpstr>Tra_02</vt:lpstr>
      <vt:lpstr>Tra_03</vt:lpstr>
      <vt:lpstr>Tra_04</vt:lpstr>
      <vt:lpstr>Tra_05</vt:lpstr>
      <vt:lpstr>Tra_06</vt:lpstr>
      <vt:lpstr>Tra_c_user</vt:lpstr>
      <vt:lpstr>Tra_cont_tot</vt:lpstr>
      <vt:lpstr>Tra_Credits</vt:lpstr>
      <vt:lpstr>Tra_d_user</vt:lpstr>
      <vt:lpstr>Tra_tot_user</vt:lpstr>
      <vt:lpstr>Tra_Weight</vt:lpstr>
      <vt:lpstr>Tra01_07</vt:lpstr>
      <vt:lpstr>TRa01_08</vt:lpstr>
      <vt:lpstr>TRA01_BuildType</vt:lpstr>
      <vt:lpstr>Tra01_credits</vt:lpstr>
      <vt:lpstr>Tra01_Crit1</vt:lpstr>
      <vt:lpstr>Tra01_Crit1_credits</vt:lpstr>
      <vt:lpstr>Tra01_minstd</vt:lpstr>
      <vt:lpstr>Tra01_tot</vt:lpstr>
      <vt:lpstr>Tra01_type7</vt:lpstr>
      <vt:lpstr>Tra01_user</vt:lpstr>
      <vt:lpstr>Tra02_06</vt:lpstr>
      <vt:lpstr>Tra02_07</vt:lpstr>
      <vt:lpstr>Tra02_credits</vt:lpstr>
      <vt:lpstr>Tra02_minstd</vt:lpstr>
      <vt:lpstr>Tra02_tot</vt:lpstr>
      <vt:lpstr>Tra02_user</vt:lpstr>
      <vt:lpstr>Tra03_02</vt:lpstr>
      <vt:lpstr>Tra03_13</vt:lpstr>
      <vt:lpstr>Tra03_14</vt:lpstr>
      <vt:lpstr>Tra03_credits</vt:lpstr>
      <vt:lpstr>Tra03_minstd</vt:lpstr>
      <vt:lpstr>Tra03_tot</vt:lpstr>
      <vt:lpstr>Tra03_user</vt:lpstr>
      <vt:lpstr>Tra04_09</vt:lpstr>
      <vt:lpstr>Tra04_10</vt:lpstr>
      <vt:lpstr>Tra04_credits</vt:lpstr>
      <vt:lpstr>Tra04_minstd</vt:lpstr>
      <vt:lpstr>Tra04_tot</vt:lpstr>
      <vt:lpstr>Tra04_user</vt:lpstr>
      <vt:lpstr>Tra05_04</vt:lpstr>
      <vt:lpstr>Tra05_05</vt:lpstr>
      <vt:lpstr>Tra05_credits</vt:lpstr>
      <vt:lpstr>Tra05_minstd</vt:lpstr>
      <vt:lpstr>Tra05_tot</vt:lpstr>
      <vt:lpstr>Tra05_user</vt:lpstr>
      <vt:lpstr>Tra06_04</vt:lpstr>
      <vt:lpstr>Tra06_05</vt:lpstr>
      <vt:lpstr>Tra06_credits</vt:lpstr>
      <vt:lpstr>Tra06_minstd</vt:lpstr>
      <vt:lpstr>Tra06_user</vt:lpstr>
      <vt:lpstr>TVC_current_date</vt:lpstr>
      <vt:lpstr>TVC_current_version</vt:lpstr>
      <vt:lpstr>Wat__Credits</vt:lpstr>
      <vt:lpstr>Wat_01</vt:lpstr>
      <vt:lpstr>Wat_02</vt:lpstr>
      <vt:lpstr>Wat_03</vt:lpstr>
      <vt:lpstr>Wat_04</vt:lpstr>
      <vt:lpstr>Wat_c_user</vt:lpstr>
      <vt:lpstr>Wat_cont_tot</vt:lpstr>
      <vt:lpstr>Wat_Credits</vt:lpstr>
      <vt:lpstr>Wat_d_user</vt:lpstr>
      <vt:lpstr>Wat_tot_user</vt:lpstr>
      <vt:lpstr>Wat_Weight</vt:lpstr>
      <vt:lpstr>Wat01_08</vt:lpstr>
      <vt:lpstr>Wat01_09</vt:lpstr>
      <vt:lpstr>Wat01_14</vt:lpstr>
      <vt:lpstr>Wat01_15</vt:lpstr>
      <vt:lpstr>Wat01_credits</vt:lpstr>
      <vt:lpstr>Wat01_minstd</vt:lpstr>
      <vt:lpstr>Wat01_tot</vt:lpstr>
      <vt:lpstr>Wat01_user</vt:lpstr>
      <vt:lpstr>Wat02_10</vt:lpstr>
      <vt:lpstr>Wat02_11</vt:lpstr>
      <vt:lpstr>Wat02_12</vt:lpstr>
      <vt:lpstr>Wat02_13</vt:lpstr>
      <vt:lpstr>Wat02_credits</vt:lpstr>
      <vt:lpstr>Wat02_tot</vt:lpstr>
      <vt:lpstr>Wat02_user</vt:lpstr>
      <vt:lpstr>Wat03_09</vt:lpstr>
      <vt:lpstr>Wat03_10</vt:lpstr>
      <vt:lpstr>Wat03_credits</vt:lpstr>
      <vt:lpstr>Wat03_minstd</vt:lpstr>
      <vt:lpstr>Wat03_tot</vt:lpstr>
      <vt:lpstr>Wat03_user</vt:lpstr>
      <vt:lpstr>Wat04_05</vt:lpstr>
      <vt:lpstr>Wat04_06</vt:lpstr>
      <vt:lpstr>Wat04_credits</vt:lpstr>
      <vt:lpstr>Wat04_minstd</vt:lpstr>
      <vt:lpstr>Wat04_tot</vt:lpstr>
      <vt:lpstr>Wat04_user</vt:lpstr>
      <vt:lpstr>Wst_01</vt:lpstr>
      <vt:lpstr>Wst_02</vt:lpstr>
      <vt:lpstr>Wst_03</vt:lpstr>
      <vt:lpstr>Wst_04</vt:lpstr>
      <vt:lpstr>Wst_c_user</vt:lpstr>
      <vt:lpstr>Wst_cont_tot</vt:lpstr>
      <vt:lpstr>Wst_Credits</vt:lpstr>
      <vt:lpstr>Wst_d_user</vt:lpstr>
      <vt:lpstr>Wst_tot_user</vt:lpstr>
      <vt:lpstr>Wst_Weight</vt:lpstr>
      <vt:lpstr>Wst01_17</vt:lpstr>
      <vt:lpstr>Wst01_18</vt:lpstr>
      <vt:lpstr>Wst01_27</vt:lpstr>
      <vt:lpstr>Wst01_28</vt:lpstr>
      <vt:lpstr>Wst01_credits</vt:lpstr>
      <vt:lpstr>Wst01_Crit1</vt:lpstr>
      <vt:lpstr>Wst01_Crit1_credits</vt:lpstr>
      <vt:lpstr>Wst01_minstd</vt:lpstr>
      <vt:lpstr>Wst01_tot</vt:lpstr>
      <vt:lpstr>Wst01_user</vt:lpstr>
      <vt:lpstr>Wst02_11</vt:lpstr>
      <vt:lpstr>Wst02_14</vt:lpstr>
      <vt:lpstr>Wst02_15</vt:lpstr>
      <vt:lpstr>Wst02_credits</vt:lpstr>
      <vt:lpstr>Wst02_minstd</vt:lpstr>
      <vt:lpstr>Wst02_tot</vt:lpstr>
      <vt:lpstr>Wst02_user</vt:lpstr>
      <vt:lpstr>Wst03_09</vt:lpstr>
      <vt:lpstr>Wst03_10</vt:lpstr>
      <vt:lpstr>Wst03_12</vt:lpstr>
      <vt:lpstr>Wst03_13</vt:lpstr>
      <vt:lpstr>Wst03_credits</vt:lpstr>
      <vt:lpstr>Wst03_tot</vt:lpstr>
      <vt:lpstr>Wst03_user</vt:lpstr>
      <vt:lpstr>Wst04_08</vt:lpstr>
      <vt:lpstr>Wst04_09</vt:lpstr>
      <vt:lpstr>Wst04_credits</vt:lpstr>
      <vt:lpstr>Wst04_minstd</vt:lpstr>
      <vt:lpstr>Wst04_tot</vt:lpstr>
      <vt:lpstr>Wst04_user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 Global Ltd</dc:creator>
  <cp:lastModifiedBy>Oddbjørn Dahlstrøm Andvik</cp:lastModifiedBy>
  <cp:lastPrinted>2022-06-24T10:54:47Z</cp:lastPrinted>
  <dcterms:created xsi:type="dcterms:W3CDTF">2011-03-28T14:05:06Z</dcterms:created>
  <dcterms:modified xsi:type="dcterms:W3CDTF">2024-02-08T12:23:25Z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1a1313e7-f814-4958-ad03-b536a5c5c290</vt:lpwstr>
  </property>
  <property fmtid="{D5CDD505-2E9C-101B-9397-08002B2CF9AE}" pid="3" name="ContentTypeId">
    <vt:lpwstr>0x010100473ED8D844509B40B8ED2A4F57557FDF</vt:lpwstr>
  </property>
</Properties>
</file>